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showInkAnnotation="0" codeName="ThisWorkbook"/>
  <mc:AlternateContent xmlns:mc="http://schemas.openxmlformats.org/markup-compatibility/2006">
    <mc:Choice Requires="x15">
      <x15ac:absPath xmlns:x15ac="http://schemas.microsoft.com/office/spreadsheetml/2010/11/ac" url="C:\Users\rschmitt\Downloads\"/>
    </mc:Choice>
  </mc:AlternateContent>
  <xr:revisionPtr revIDLastSave="0" documentId="8_{DD956DFA-4ADC-46F3-8730-99574B1626D5}" xr6:coauthVersionLast="47" xr6:coauthVersionMax="47" xr10:uidLastSave="{00000000-0000-0000-0000-000000000000}"/>
  <bookViews>
    <workbookView xWindow="20052" yWindow="-432" windowWidth="23256" windowHeight="12456" activeTab="1" xr2:uid="{00000000-000D-0000-FFFF-FFFF00000000}"/>
  </bookViews>
  <sheets>
    <sheet name="ReadMe" sheetId="23" r:id="rId1"/>
    <sheet name="INPUTS" sheetId="1" r:id="rId2"/>
    <sheet name="SUMMARY TABLES" sheetId="14" r:id="rId3"/>
    <sheet name="BUY ALL C-PACE SIR MODEL" sheetId="25" r:id="rId4"/>
    <sheet name="NT C-PACE SIR MODEL" sheetId="26" r:id="rId5"/>
    <sheet name="BUY ALL CASH FLOW CHART" sheetId="27" r:id="rId6"/>
    <sheet name="NT CASH FLOW CHART" sheetId="28" r:id="rId7"/>
    <sheet name="SUMMARY OF PV MEASURE" sheetId="20" state="hidden" r:id="rId8"/>
    <sheet name="CLOSING FEE CALCULATOR" sheetId="21" state="hidden" r:id="rId9"/>
    <sheet name="TAX BENEFITS" sheetId="11" state="hidden" r:id="rId10"/>
    <sheet name="PRINCIPAL AND INTEREST" sheetId="12" state="hidden" r:id="rId11"/>
    <sheet name="INTEREST RATES" sheetId="22" state="hidden" r:id="rId12"/>
    <sheet name="UTILITY BILL EXAMPLE" sheetId="24" r:id="rId13"/>
  </sheets>
  <definedNames>
    <definedName name="Beg_Bal" localSheetId="2">#REF!</definedName>
    <definedName name="Beg_Bal">#REF!</definedName>
    <definedName name="Cum_Int" localSheetId="2">#REF!</definedName>
    <definedName name="Cum_Int">#REF!</definedName>
    <definedName name="Data">#REF!</definedName>
    <definedName name="End_Bal">#REF!</definedName>
    <definedName name="Extra_Pay">#REF!</definedName>
    <definedName name="Full_Print">#REF!</definedName>
    <definedName name="Header_Row">ROW(#REF!)</definedName>
    <definedName name="Int">#REF!</definedName>
    <definedName name="Interest_Rate">#REF!</definedName>
    <definedName name="Last_Row" localSheetId="2">IF('SUMMARY TABLES'!Values_Entered,Header_Row+'SUMMARY TABLES'!Number_of_Payments,Header_Row)</definedName>
    <definedName name="Last_Row">IF(Values_Entered,Header_Row+Number_of_Payments,Header_Row)</definedName>
    <definedName name="Loan_Amount" localSheetId="2">#REF!</definedName>
    <definedName name="Loan_Amount">#REF!</definedName>
    <definedName name="Loan_Start" localSheetId="2">#REF!</definedName>
    <definedName name="Loan_Start">#REF!</definedName>
    <definedName name="Loan_Years" localSheetId="2">#REF!</definedName>
    <definedName name="Loan_Years">#REF!</definedName>
    <definedName name="Num_Pmt_Per_Year">#REF!</definedName>
    <definedName name="Number_of_Payments" localSheetId="2">MATCH(0.01,End_Bal,-1)+1</definedName>
    <definedName name="Number_of_Payments">MATCH(0.01,End_Bal,-1)+1</definedName>
    <definedName name="Pay_Date">#REF!</definedName>
    <definedName name="Pay_Num">#REF!</definedName>
    <definedName name="Payment_Date" localSheetId="3">DATE(YEAR([0]!Loan_Start),MONTH([0]!Loan_Start)+Payment_Number,DAY([0]!Loan_Start))</definedName>
    <definedName name="Payment_Date" localSheetId="4">DATE(YEAR([0]!Loan_Start),MONTH([0]!Loan_Start)+Payment_Number,DAY([0]!Loan_Start))</definedName>
    <definedName name="Payment_Date" localSheetId="2">DATE(YEAR('SUMMARY TABLES'!Loan_Start),MONTH('SUMMARY TABLES'!Loan_Start)+Payment_Number,DAY('SUMMARY TABLES'!Loan_Start))</definedName>
    <definedName name="Payment_Date">DATE(YEAR(Loan_Start),MONTH(Loan_Start)+Payment_Number,DAY(Loan_Start))</definedName>
    <definedName name="Princ" localSheetId="2">#REF!</definedName>
    <definedName name="Princ">#REF!</definedName>
    <definedName name="_xlnm.Print_Area" localSheetId="3">'BUY ALL C-PACE SIR MODEL'!$B$3:$AH$50</definedName>
    <definedName name="_xlnm.Print_Area" localSheetId="4">'NT C-PACE SIR MODEL'!$B$3:$AH$52</definedName>
    <definedName name="Print_Area_Reset" localSheetId="2">OFFSET(Full_Print,0,0,'SUMMARY TABLES'!Last_Row)</definedName>
    <definedName name="Print_Area_Reset">OFFSET(Full_Print,0,0,Last_Row)</definedName>
    <definedName name="Sched_Pay" localSheetId="2">#REF!</definedName>
    <definedName name="Sched_Pay">#REF!</definedName>
    <definedName name="Scheduled_Extra_Payments">#REF!</definedName>
    <definedName name="Scheduled_Interest_Rate">#REF!</definedName>
    <definedName name="Scheduled_Monthly_Payment">#REF!</definedName>
    <definedName name="Total_Interest">#REF!</definedName>
    <definedName name="Total_Pay">#REF!</definedName>
    <definedName name="Values_Entered" localSheetId="2">IF('SUMMARY TABLES'!Loan_Amount*Interest_Rate*'SUMMARY TABLES'!Loan_Years*'SUMMARY TABLES'!Loan_Start&gt;0,1,0)</definedName>
    <definedName name="Values_Entered">IF(Loan_Amount*Interest_Rate*Loan_Years*Loan_Start&gt;0,1,0)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22" l="1"/>
  <c r="E5" i="22"/>
  <c r="E6" i="22"/>
  <c r="E7" i="22"/>
  <c r="E8" i="22"/>
  <c r="E9" i="22"/>
  <c r="E10" i="22"/>
  <c r="E11" i="22"/>
  <c r="E12" i="22"/>
  <c r="E13" i="22"/>
  <c r="E14" i="22"/>
  <c r="E15" i="22"/>
  <c r="E16" i="22"/>
  <c r="E17" i="22"/>
  <c r="E18" i="22"/>
  <c r="E19" i="22"/>
  <c r="E20" i="22"/>
  <c r="E21" i="22"/>
  <c r="E22" i="22"/>
  <c r="E23" i="22"/>
  <c r="E3" i="22"/>
  <c r="C51" i="1"/>
  <c r="C53" i="1" s="1"/>
  <c r="C4" i="14" s="1"/>
  <c r="C15" i="14" s="1"/>
  <c r="F11" i="14"/>
  <c r="F9" i="14"/>
  <c r="C11" i="14"/>
  <c r="C9" i="14"/>
  <c r="C34" i="1"/>
  <c r="F3" i="20"/>
  <c r="C63" i="1" s="1"/>
  <c r="C14" i="14" s="1"/>
  <c r="E7" i="26"/>
  <c r="F7" i="26" s="1"/>
  <c r="G7" i="26" s="1"/>
  <c r="X5" i="26"/>
  <c r="W5" i="26"/>
  <c r="V5" i="26"/>
  <c r="U5" i="26"/>
  <c r="T5" i="26"/>
  <c r="S5" i="26"/>
  <c r="R5" i="26"/>
  <c r="Q5" i="26"/>
  <c r="P5" i="26"/>
  <c r="O5" i="26"/>
  <c r="N5" i="26"/>
  <c r="M5" i="26"/>
  <c r="L5" i="26"/>
  <c r="K5" i="26"/>
  <c r="J5" i="26"/>
  <c r="I5" i="26"/>
  <c r="H5" i="26"/>
  <c r="G5" i="26"/>
  <c r="F5" i="26"/>
  <c r="E5" i="26"/>
  <c r="F3" i="26"/>
  <c r="G3" i="26" s="1"/>
  <c r="H3" i="26" s="1"/>
  <c r="I3" i="26" s="1"/>
  <c r="J3" i="26" s="1"/>
  <c r="K3" i="26" s="1"/>
  <c r="L3" i="26" s="1"/>
  <c r="M3" i="26" s="1"/>
  <c r="N3" i="26" s="1"/>
  <c r="O3" i="26" s="1"/>
  <c r="P3" i="26" s="1"/>
  <c r="Q3" i="26" s="1"/>
  <c r="R3" i="26" s="1"/>
  <c r="S3" i="26" s="1"/>
  <c r="T3" i="26" s="1"/>
  <c r="U3" i="26" s="1"/>
  <c r="V3" i="26" s="1"/>
  <c r="W3" i="26" s="1"/>
  <c r="X3" i="26" s="1"/>
  <c r="Y3" i="26" s="1"/>
  <c r="Z3" i="26" s="1"/>
  <c r="AA3" i="26" s="1"/>
  <c r="AB3" i="26" s="1"/>
  <c r="AC3" i="26" s="1"/>
  <c r="X5" i="25"/>
  <c r="W5" i="25"/>
  <c r="V5" i="25"/>
  <c r="U5" i="25"/>
  <c r="T5" i="25"/>
  <c r="S5" i="25"/>
  <c r="R5" i="25"/>
  <c r="Q5" i="25"/>
  <c r="P5" i="25"/>
  <c r="O5" i="25"/>
  <c r="N5" i="25"/>
  <c r="M5" i="25"/>
  <c r="L5" i="25"/>
  <c r="K5" i="25"/>
  <c r="J5" i="25"/>
  <c r="I5" i="25"/>
  <c r="H5" i="25"/>
  <c r="G5" i="25"/>
  <c r="F5" i="25"/>
  <c r="E5" i="25"/>
  <c r="F3" i="25"/>
  <c r="G3" i="25" s="1"/>
  <c r="H3" i="25" s="1"/>
  <c r="I3" i="25" s="1"/>
  <c r="J3" i="25" s="1"/>
  <c r="K3" i="25" s="1"/>
  <c r="L3" i="25" s="1"/>
  <c r="M3" i="25" s="1"/>
  <c r="N3" i="25" s="1"/>
  <c r="O3" i="25" s="1"/>
  <c r="P3" i="25" s="1"/>
  <c r="Q3" i="25" s="1"/>
  <c r="R3" i="25" s="1"/>
  <c r="S3" i="25" s="1"/>
  <c r="T3" i="25" s="1"/>
  <c r="U3" i="25" s="1"/>
  <c r="V3" i="25" s="1"/>
  <c r="W3" i="25" s="1"/>
  <c r="X3" i="25" s="1"/>
  <c r="Y3" i="25" s="1"/>
  <c r="Z3" i="25" s="1"/>
  <c r="AA3" i="25" s="1"/>
  <c r="AB3" i="25" s="1"/>
  <c r="AC3" i="25" s="1"/>
  <c r="E3" i="20"/>
  <c r="C62" i="1" l="1"/>
  <c r="F14" i="14"/>
  <c r="F4" i="14"/>
  <c r="F15" i="14" s="1"/>
  <c r="H7" i="26"/>
  <c r="C55" i="1"/>
  <c r="M7" i="24"/>
  <c r="M5" i="24"/>
  <c r="B3" i="21" l="1"/>
  <c r="B8" i="21" s="1"/>
  <c r="F8" i="21" s="1"/>
  <c r="I7" i="26"/>
  <c r="B6" i="21" l="1"/>
  <c r="F6" i="21" s="1"/>
  <c r="B7" i="21"/>
  <c r="F7" i="21" s="1"/>
  <c r="J7" i="26"/>
  <c r="B3" i="20"/>
  <c r="F10" i="21" l="1"/>
  <c r="C56" i="1" s="1"/>
  <c r="C57" i="1" s="1"/>
  <c r="C10" i="14"/>
  <c r="F10" i="14"/>
  <c r="F18" i="14"/>
  <c r="F19" i="14" s="1"/>
  <c r="C18" i="14"/>
  <c r="C19" i="14" s="1"/>
  <c r="K7" i="26"/>
  <c r="C3" i="20"/>
  <c r="C16" i="14" l="1"/>
  <c r="F16" i="14"/>
  <c r="AB15" i="25"/>
  <c r="AB17" i="25" s="1"/>
  <c r="AA15" i="25"/>
  <c r="AA17" i="25" s="1"/>
  <c r="AC17" i="26"/>
  <c r="AC19" i="26" s="1"/>
  <c r="Z15" i="25"/>
  <c r="Z17" i="25" s="1"/>
  <c r="AB17" i="26"/>
  <c r="AB19" i="26" s="1"/>
  <c r="Y15" i="25"/>
  <c r="Y17" i="25" s="1"/>
  <c r="AA17" i="26"/>
  <c r="AA19" i="26" s="1"/>
  <c r="Z17" i="26"/>
  <c r="Z19" i="26" s="1"/>
  <c r="Y17" i="26"/>
  <c r="Y19" i="26" s="1"/>
  <c r="AC15" i="25"/>
  <c r="AC17" i="25" s="1"/>
  <c r="L7" i="26"/>
  <c r="D3" i="20"/>
  <c r="J3" i="20"/>
  <c r="E6" i="26" l="1"/>
  <c r="E6" i="25"/>
  <c r="E8" i="25" s="1"/>
  <c r="M7" i="26"/>
  <c r="E10" i="26" l="1"/>
  <c r="E9" i="26"/>
  <c r="C21" i="14"/>
  <c r="N7" i="26"/>
  <c r="K3" i="20"/>
  <c r="C46" i="1"/>
  <c r="C47" i="1"/>
  <c r="F6" i="25" l="1"/>
  <c r="F8" i="25" s="1"/>
  <c r="F6" i="26"/>
  <c r="O7" i="26"/>
  <c r="L3" i="20"/>
  <c r="C3" i="11"/>
  <c r="F10" i="26" l="1"/>
  <c r="F9" i="26"/>
  <c r="M3" i="20"/>
  <c r="G6" i="25"/>
  <c r="G8" i="25" s="1"/>
  <c r="G6" i="26"/>
  <c r="P7" i="26"/>
  <c r="G10" i="26" l="1"/>
  <c r="G9" i="26"/>
  <c r="F12" i="25"/>
  <c r="N3" i="20"/>
  <c r="H6" i="25"/>
  <c r="H8" i="25" s="1"/>
  <c r="H6" i="26"/>
  <c r="Q7" i="26"/>
  <c r="H10" i="26" l="1"/>
  <c r="H9" i="26"/>
  <c r="G12" i="25"/>
  <c r="O3" i="20"/>
  <c r="I6" i="25"/>
  <c r="I8" i="25" s="1"/>
  <c r="I6" i="26"/>
  <c r="R7" i="26"/>
  <c r="I10" i="26" l="1"/>
  <c r="I9" i="26"/>
  <c r="H12" i="25"/>
  <c r="P3" i="20"/>
  <c r="J6" i="25"/>
  <c r="J8" i="25" s="1"/>
  <c r="J6" i="26"/>
  <c r="S7" i="26"/>
  <c r="J10" i="26" l="1"/>
  <c r="J9" i="26"/>
  <c r="I12" i="25"/>
  <c r="Q3" i="20"/>
  <c r="K6" i="26"/>
  <c r="K6" i="25"/>
  <c r="K8" i="25" s="1"/>
  <c r="T7" i="26"/>
  <c r="K10" i="26" l="1"/>
  <c r="K9" i="26"/>
  <c r="J12" i="25"/>
  <c r="R3" i="20"/>
  <c r="L6" i="26"/>
  <c r="L6" i="25"/>
  <c r="L8" i="25" s="1"/>
  <c r="U7" i="26"/>
  <c r="L10" i="26" l="1"/>
  <c r="L9" i="26"/>
  <c r="S3" i="20"/>
  <c r="M6" i="26"/>
  <c r="M6" i="25"/>
  <c r="M8" i="25" s="1"/>
  <c r="K12" i="25"/>
  <c r="V7" i="26"/>
  <c r="M10" i="26" l="1"/>
  <c r="M9" i="26"/>
  <c r="L12" i="25"/>
  <c r="T3" i="20"/>
  <c r="N6" i="25"/>
  <c r="N8" i="25" s="1"/>
  <c r="N6" i="26"/>
  <c r="W7" i="26"/>
  <c r="N10" i="26" l="1"/>
  <c r="N9" i="26"/>
  <c r="M12" i="25"/>
  <c r="U3" i="20"/>
  <c r="O6" i="25"/>
  <c r="O8" i="25" s="1"/>
  <c r="O6" i="26"/>
  <c r="N12" i="25"/>
  <c r="X7" i="26"/>
  <c r="O10" i="26" l="1"/>
  <c r="O9" i="26"/>
  <c r="J14" i="26"/>
  <c r="K14" i="26"/>
  <c r="H14" i="26"/>
  <c r="N14" i="26"/>
  <c r="G14" i="26"/>
  <c r="L14" i="26"/>
  <c r="F14" i="26"/>
  <c r="M14" i="26"/>
  <c r="I14" i="26"/>
  <c r="V3" i="20"/>
  <c r="P6" i="25"/>
  <c r="P8" i="25" s="1"/>
  <c r="P6" i="26"/>
  <c r="P10" i="26" l="1"/>
  <c r="P9" i="26"/>
  <c r="O14" i="26"/>
  <c r="O12" i="25"/>
  <c r="W3" i="20"/>
  <c r="Q6" i="25"/>
  <c r="Q8" i="25" s="1"/>
  <c r="Q6" i="26"/>
  <c r="Q10" i="26" l="1"/>
  <c r="Q9" i="26"/>
  <c r="P12" i="25"/>
  <c r="X3" i="20"/>
  <c r="R6" i="26"/>
  <c r="R6" i="25"/>
  <c r="R8" i="25" s="1"/>
  <c r="P14" i="26"/>
  <c r="R10" i="26" l="1"/>
  <c r="R9" i="26"/>
  <c r="Y3" i="20"/>
  <c r="S6" i="26"/>
  <c r="S6" i="25"/>
  <c r="S8" i="25" s="1"/>
  <c r="Q12" i="25"/>
  <c r="Q14" i="26"/>
  <c r="S10" i="26" l="1"/>
  <c r="S9" i="26"/>
  <c r="R14" i="26"/>
  <c r="R12" i="25"/>
  <c r="Z3" i="20"/>
  <c r="T6" i="26"/>
  <c r="T6" i="25"/>
  <c r="T10" i="26" l="1"/>
  <c r="T9" i="26"/>
  <c r="T8" i="25"/>
  <c r="T12" i="25" s="1"/>
  <c r="S12" i="25"/>
  <c r="AA3" i="20"/>
  <c r="U6" i="26"/>
  <c r="U6" i="25"/>
  <c r="S14" i="26"/>
  <c r="U10" i="26" l="1"/>
  <c r="U9" i="26"/>
  <c r="T14" i="26"/>
  <c r="U8" i="25"/>
  <c r="U12" i="25" s="1"/>
  <c r="AB3" i="20"/>
  <c r="V6" i="25"/>
  <c r="V6" i="26"/>
  <c r="C5" i="11"/>
  <c r="V10" i="26" l="1"/>
  <c r="V9" i="26"/>
  <c r="U14" i="26"/>
  <c r="V8" i="25"/>
  <c r="V12" i="25" s="1"/>
  <c r="AC3" i="20"/>
  <c r="W6" i="25"/>
  <c r="W6" i="26"/>
  <c r="W10" i="26" l="1"/>
  <c r="W9" i="26"/>
  <c r="V14" i="26"/>
  <c r="W8" i="25"/>
  <c r="W12" i="25" s="1"/>
  <c r="AD3" i="20"/>
  <c r="X6" i="25"/>
  <c r="X6" i="26"/>
  <c r="C4" i="11"/>
  <c r="X10" i="26" l="1"/>
  <c r="F21" i="14" s="1"/>
  <c r="X9" i="26"/>
  <c r="F22" i="14" s="1"/>
  <c r="W14" i="26"/>
  <c r="X8" i="25"/>
  <c r="C22" i="14" s="1"/>
  <c r="AE3" i="20"/>
  <c r="E12" i="26"/>
  <c r="F24" i="14" s="1"/>
  <c r="E10" i="25"/>
  <c r="C23" i="14" s="1"/>
  <c r="C8" i="11"/>
  <c r="D10" i="11" s="1"/>
  <c r="F23" i="14" l="1"/>
  <c r="X14" i="26"/>
  <c r="X12" i="25"/>
  <c r="AF3" i="20"/>
  <c r="Y18" i="25"/>
  <c r="Y20" i="25"/>
  <c r="Y20" i="26" l="1"/>
  <c r="Y22" i="26"/>
  <c r="Z18" i="25"/>
  <c r="Z20" i="25"/>
  <c r="AG3" i="20"/>
  <c r="Z22" i="26" l="1"/>
  <c r="Z20" i="26"/>
  <c r="AH3" i="20"/>
  <c r="AA18" i="25"/>
  <c r="AA20" i="25"/>
  <c r="F20" i="14" l="1"/>
  <c r="C20" i="14"/>
  <c r="AA22" i="26"/>
  <c r="AA20" i="26"/>
  <c r="AB20" i="25"/>
  <c r="AB18" i="25"/>
  <c r="K4" i="12"/>
  <c r="K3" i="12"/>
  <c r="AB22" i="26" l="1"/>
  <c r="AB20" i="26"/>
  <c r="AC22" i="26"/>
  <c r="AC20" i="25"/>
  <c r="AC18" i="25"/>
  <c r="C6" i="11"/>
  <c r="AC20" i="26" l="1"/>
  <c r="D11" i="11"/>
  <c r="G10" i="11" l="1"/>
  <c r="G11" i="11" s="1"/>
  <c r="G16" i="11" s="1"/>
  <c r="D16" i="11"/>
  <c r="F10" i="11"/>
  <c r="F11" i="11" s="1"/>
  <c r="F16" i="11" s="1"/>
  <c r="I10" i="11"/>
  <c r="I11" i="11" s="1"/>
  <c r="I16" i="11" s="1"/>
  <c r="H10" i="11"/>
  <c r="H11" i="11" s="1"/>
  <c r="H16" i="11" s="1"/>
  <c r="E10" i="11"/>
  <c r="E11" i="11" s="1"/>
  <c r="E9" i="25" l="1"/>
  <c r="C24" i="14" s="1"/>
  <c r="E11" i="26"/>
  <c r="F25" i="14" s="1"/>
  <c r="E16" i="11"/>
  <c r="E12" i="25" l="1"/>
  <c r="E23" i="25" s="1"/>
  <c r="C6" i="14" s="1"/>
  <c r="E14" i="26"/>
  <c r="E25" i="26" s="1"/>
  <c r="F6" i="14" s="1"/>
  <c r="E15" i="25" l="1"/>
  <c r="E17" i="25" s="1"/>
  <c r="F5" i="14" l="1"/>
  <c r="C5" i="14"/>
  <c r="W17" i="26"/>
  <c r="W19" i="26" s="1"/>
  <c r="F17" i="26"/>
  <c r="F19" i="26" s="1"/>
  <c r="I15" i="25"/>
  <c r="I17" i="25" s="1"/>
  <c r="R17" i="26"/>
  <c r="R19" i="26" s="1"/>
  <c r="V15" i="25"/>
  <c r="V17" i="25" s="1"/>
  <c r="M15" i="25"/>
  <c r="M17" i="25" s="1"/>
  <c r="G17" i="26"/>
  <c r="G19" i="26" s="1"/>
  <c r="J15" i="25"/>
  <c r="J17" i="25" s="1"/>
  <c r="S17" i="26"/>
  <c r="S19" i="26" s="1"/>
  <c r="F15" i="25"/>
  <c r="F17" i="25" s="1"/>
  <c r="E17" i="26"/>
  <c r="E19" i="26" s="1"/>
  <c r="U15" i="25"/>
  <c r="U17" i="25" s="1"/>
  <c r="O17" i="26"/>
  <c r="O19" i="26" s="1"/>
  <c r="R15" i="25"/>
  <c r="R17" i="25" s="1"/>
  <c r="J17" i="26"/>
  <c r="J19" i="26" s="1"/>
  <c r="N15" i="25"/>
  <c r="N17" i="25" s="1"/>
  <c r="S15" i="25"/>
  <c r="S17" i="25" s="1"/>
  <c r="W15" i="25"/>
  <c r="W17" i="25" s="1"/>
  <c r="P17" i="26"/>
  <c r="P19" i="26" s="1"/>
  <c r="U17" i="26"/>
  <c r="U19" i="26" s="1"/>
  <c r="P15" i="25"/>
  <c r="P17" i="25" s="1"/>
  <c r="V17" i="26"/>
  <c r="V19" i="26" s="1"/>
  <c r="H15" i="25"/>
  <c r="H17" i="25" s="1"/>
  <c r="Q15" i="25"/>
  <c r="Q17" i="25" s="1"/>
  <c r="K15" i="25"/>
  <c r="K17" i="25" s="1"/>
  <c r="K17" i="26"/>
  <c r="K19" i="26" s="1"/>
  <c r="O15" i="25"/>
  <c r="O17" i="25" s="1"/>
  <c r="X17" i="26"/>
  <c r="X19" i="26" s="1"/>
  <c r="G15" i="25"/>
  <c r="G17" i="25" s="1"/>
  <c r="L15" i="25"/>
  <c r="L17" i="25" s="1"/>
  <c r="L17" i="26"/>
  <c r="L19" i="26" s="1"/>
  <c r="H17" i="26"/>
  <c r="H19" i="26" s="1"/>
  <c r="M17" i="26"/>
  <c r="M19" i="26" s="1"/>
  <c r="Q17" i="26"/>
  <c r="Q19" i="26" s="1"/>
  <c r="N17" i="26"/>
  <c r="N19" i="26" s="1"/>
  <c r="I17" i="26"/>
  <c r="I19" i="26" s="1"/>
  <c r="T15" i="25"/>
  <c r="T17" i="25" s="1"/>
  <c r="T17" i="26"/>
  <c r="T19" i="26" s="1"/>
  <c r="X15" i="25"/>
  <c r="X17" i="25" s="1"/>
  <c r="K2" i="12"/>
  <c r="F17" i="14" l="1"/>
  <c r="F8" i="14"/>
  <c r="C17" i="14"/>
  <c r="C8" i="14"/>
  <c r="E26" i="26"/>
  <c r="E20" i="25"/>
  <c r="E18" i="25"/>
  <c r="E19" i="25" s="1"/>
  <c r="H18" i="25"/>
  <c r="H20" i="25"/>
  <c r="T22" i="26"/>
  <c r="T20" i="26"/>
  <c r="L18" i="25"/>
  <c r="L20" i="25"/>
  <c r="V20" i="26"/>
  <c r="V22" i="26"/>
  <c r="R20" i="25"/>
  <c r="R18" i="25"/>
  <c r="G20" i="26"/>
  <c r="G22" i="26"/>
  <c r="T18" i="25"/>
  <c r="T20" i="25"/>
  <c r="G20" i="25"/>
  <c r="G18" i="25"/>
  <c r="P18" i="25"/>
  <c r="P20" i="25"/>
  <c r="O22" i="26"/>
  <c r="O20" i="26"/>
  <c r="M18" i="25"/>
  <c r="M20" i="25"/>
  <c r="L22" i="26"/>
  <c r="L20" i="26"/>
  <c r="I20" i="26"/>
  <c r="I22" i="26"/>
  <c r="X22" i="26"/>
  <c r="X20" i="26"/>
  <c r="U22" i="26"/>
  <c r="U20" i="26"/>
  <c r="U18" i="25"/>
  <c r="U20" i="25"/>
  <c r="V20" i="25"/>
  <c r="V18" i="25"/>
  <c r="N22" i="26"/>
  <c r="N20" i="26"/>
  <c r="O20" i="25"/>
  <c r="O18" i="25"/>
  <c r="P22" i="26"/>
  <c r="P20" i="26"/>
  <c r="E20" i="26"/>
  <c r="E21" i="26" s="1"/>
  <c r="R22" i="26"/>
  <c r="R20" i="26"/>
  <c r="X20" i="25"/>
  <c r="X18" i="25"/>
  <c r="Q20" i="26"/>
  <c r="Q22" i="26"/>
  <c r="K20" i="26"/>
  <c r="K22" i="26"/>
  <c r="W18" i="25"/>
  <c r="W20" i="25"/>
  <c r="F20" i="25"/>
  <c r="F18" i="25"/>
  <c r="I18" i="25"/>
  <c r="I20" i="25"/>
  <c r="M20" i="26"/>
  <c r="M22" i="26"/>
  <c r="K20" i="25"/>
  <c r="K18" i="25"/>
  <c r="S18" i="25"/>
  <c r="S20" i="25"/>
  <c r="S20" i="26"/>
  <c r="S22" i="26"/>
  <c r="F22" i="26"/>
  <c r="F20" i="26"/>
  <c r="J20" i="26"/>
  <c r="J22" i="26"/>
  <c r="H22" i="26"/>
  <c r="H20" i="26"/>
  <c r="Q18" i="25"/>
  <c r="Q20" i="25"/>
  <c r="N20" i="25"/>
  <c r="N18" i="25"/>
  <c r="J20" i="25"/>
  <c r="J18" i="25"/>
  <c r="W22" i="26"/>
  <c r="W20" i="26"/>
  <c r="B4" i="12"/>
  <c r="G4" i="12" s="1"/>
  <c r="K5" i="12"/>
  <c r="E4" i="12" s="1"/>
  <c r="E27" i="26" l="1"/>
  <c r="F3" i="14" s="1"/>
  <c r="F7" i="14"/>
  <c r="F21" i="26"/>
  <c r="G21" i="26" s="1"/>
  <c r="H21" i="26" s="1"/>
  <c r="I21" i="26" s="1"/>
  <c r="J21" i="26" s="1"/>
  <c r="K21" i="26" s="1"/>
  <c r="L21" i="26" s="1"/>
  <c r="M21" i="26" s="1"/>
  <c r="N21" i="26" s="1"/>
  <c r="O21" i="26" s="1"/>
  <c r="P21" i="26" s="1"/>
  <c r="Q21" i="26" s="1"/>
  <c r="R21" i="26" s="1"/>
  <c r="S21" i="26" s="1"/>
  <c r="T21" i="26" s="1"/>
  <c r="U21" i="26" s="1"/>
  <c r="V21" i="26" s="1"/>
  <c r="W21" i="26" s="1"/>
  <c r="X21" i="26" s="1"/>
  <c r="Y21" i="26" s="1"/>
  <c r="Z21" i="26" s="1"/>
  <c r="AA21" i="26" s="1"/>
  <c r="AB21" i="26" s="1"/>
  <c r="AC21" i="26" s="1"/>
  <c r="F19" i="25"/>
  <c r="G19" i="25" s="1"/>
  <c r="H19" i="25" s="1"/>
  <c r="I19" i="25" s="1"/>
  <c r="J19" i="25" s="1"/>
  <c r="K19" i="25" s="1"/>
  <c r="L19" i="25" s="1"/>
  <c r="M19" i="25" s="1"/>
  <c r="N19" i="25" s="1"/>
  <c r="O19" i="25" s="1"/>
  <c r="P19" i="25" s="1"/>
  <c r="Q19" i="25" s="1"/>
  <c r="R19" i="25" s="1"/>
  <c r="S19" i="25" s="1"/>
  <c r="T19" i="25" s="1"/>
  <c r="U19" i="25" s="1"/>
  <c r="V19" i="25" s="1"/>
  <c r="W19" i="25" s="1"/>
  <c r="X19" i="25" s="1"/>
  <c r="Y19" i="25" s="1"/>
  <c r="Z19" i="25" s="1"/>
  <c r="AA19" i="25" s="1"/>
  <c r="AB19" i="25" s="1"/>
  <c r="AC19" i="25" s="1"/>
  <c r="E22" i="26"/>
  <c r="E24" i="25"/>
  <c r="C7" i="14" s="1"/>
  <c r="F4" i="12"/>
  <c r="H4" i="12" s="1"/>
  <c r="B5" i="12" s="1"/>
  <c r="G5" i="12" s="1"/>
  <c r="E5" i="12"/>
  <c r="E6" i="12" s="1"/>
  <c r="E7" i="12" s="1"/>
  <c r="E25" i="25" l="1"/>
  <c r="C3" i="14" s="1"/>
  <c r="F5" i="12"/>
  <c r="E8" i="12"/>
  <c r="E9" i="12" l="1"/>
  <c r="H5" i="12"/>
  <c r="B6" i="12" l="1"/>
  <c r="G6" i="12" s="1"/>
  <c r="E10" i="12"/>
  <c r="E11" i="12" l="1"/>
  <c r="F6" i="12"/>
  <c r="E12" i="12" l="1"/>
  <c r="H6" i="12"/>
  <c r="B7" i="12" l="1"/>
  <c r="G7" i="12" s="1"/>
  <c r="E13" i="12"/>
  <c r="E14" i="12" l="1"/>
  <c r="F7" i="12"/>
  <c r="E15" i="12" l="1"/>
  <c r="H7" i="12"/>
  <c r="E16" i="12" l="1"/>
  <c r="B8" i="12"/>
  <c r="G8" i="12" s="1"/>
  <c r="F8" i="12" s="1"/>
  <c r="H8" i="12" s="1"/>
  <c r="B9" i="12" l="1"/>
  <c r="G9" i="12" s="1"/>
  <c r="F9" i="12" s="1"/>
  <c r="H9" i="12" s="1"/>
  <c r="E17" i="12"/>
  <c r="B10" i="12" l="1"/>
  <c r="G10" i="12" s="1"/>
  <c r="F10" i="12" s="1"/>
  <c r="H10" i="12" s="1"/>
  <c r="E18" i="12"/>
  <c r="E19" i="12" s="1"/>
  <c r="E20" i="12" s="1"/>
  <c r="E21" i="12" s="1"/>
  <c r="E22" i="12" s="1"/>
  <c r="E23" i="12" s="1"/>
  <c r="E24" i="12" l="1"/>
  <c r="E25" i="12" s="1"/>
  <c r="E26" i="12" s="1"/>
  <c r="E27" i="12" s="1"/>
  <c r="E28" i="12" s="1"/>
  <c r="B11" i="12"/>
  <c r="G11" i="12" s="1"/>
  <c r="F11" i="12" s="1"/>
  <c r="H11" i="12" s="1"/>
  <c r="E30" i="12"/>
  <c r="B12" i="12" l="1"/>
  <c r="G12" i="12" s="1"/>
  <c r="F12" i="12" s="1"/>
  <c r="H12" i="12" s="1"/>
  <c r="B13" i="12" l="1"/>
  <c r="G13" i="12" s="1"/>
  <c r="F13" i="12" s="1"/>
  <c r="H13" i="12" s="1"/>
  <c r="B14" i="12" l="1"/>
  <c r="G14" i="12" s="1"/>
  <c r="F14" i="12" s="1"/>
  <c r="H14" i="12" s="1"/>
  <c r="B15" i="12" l="1"/>
  <c r="G15" i="12" s="1"/>
  <c r="F15" i="12" s="1"/>
  <c r="H15" i="12" s="1"/>
  <c r="B16" i="12" l="1"/>
  <c r="G16" i="12" s="1"/>
  <c r="F16" i="12" s="1"/>
  <c r="H16" i="12" s="1"/>
  <c r="B17" i="12" l="1"/>
  <c r="G17" i="12" s="1"/>
  <c r="F17" i="12" s="1"/>
  <c r="H17" i="12" s="1"/>
  <c r="B18" i="12" l="1"/>
  <c r="G18" i="12" s="1"/>
  <c r="F18" i="12" l="1"/>
  <c r="H18" i="12" l="1"/>
  <c r="B19" i="12" s="1"/>
  <c r="G19" i="12" s="1"/>
  <c r="F19" i="12" l="1"/>
  <c r="H19" i="12" l="1"/>
  <c r="B20" i="12" s="1"/>
  <c r="G20" i="12" s="1"/>
  <c r="F20" i="12" l="1"/>
  <c r="H20" i="12" l="1"/>
  <c r="B21" i="12" s="1"/>
  <c r="G21" i="12" s="1"/>
  <c r="F21" i="12" l="1"/>
  <c r="H21" i="12" l="1"/>
  <c r="B22" i="12" l="1"/>
  <c r="G22" i="12" s="1"/>
  <c r="F22" i="12" l="1"/>
  <c r="H22" i="12" l="1"/>
  <c r="B23" i="12" l="1"/>
  <c r="G23" i="12" s="1"/>
  <c r="F23" i="12" l="1"/>
  <c r="G30" i="12"/>
  <c r="F30" i="12" l="1"/>
  <c r="H23" i="12"/>
  <c r="B24" i="12" s="1"/>
  <c r="G24" i="12" s="1"/>
  <c r="F24" i="12" s="1"/>
  <c r="H24" i="12" s="1"/>
  <c r="B25" i="12" s="1"/>
  <c r="G25" i="12" s="1"/>
  <c r="F25" i="12" s="1"/>
  <c r="H25" i="12" s="1"/>
  <c r="B26" i="12" s="1"/>
  <c r="G26" i="12" s="1"/>
  <c r="F26" i="12" s="1"/>
  <c r="H26" i="12" s="1"/>
  <c r="B27" i="12" s="1"/>
  <c r="G27" i="12" s="1"/>
  <c r="F27" i="12" s="1"/>
  <c r="H27" i="12" s="1"/>
  <c r="B28" i="12" s="1"/>
  <c r="G28" i="12" s="1"/>
  <c r="F28" i="12" s="1"/>
  <c r="H28" i="12" s="1"/>
</calcChain>
</file>

<file path=xl/sharedStrings.xml><?xml version="1.0" encoding="utf-8"?>
<sst xmlns="http://schemas.openxmlformats.org/spreadsheetml/2006/main" count="247" uniqueCount="179">
  <si>
    <t>Date of Proposal</t>
  </si>
  <si>
    <t>Annual Escalation of Utility Price</t>
  </si>
  <si>
    <t xml:space="preserve"> </t>
  </si>
  <si>
    <t>Year</t>
  </si>
  <si>
    <t>CASH OUTFLOWS</t>
  </si>
  <si>
    <t>Capacity Factor</t>
  </si>
  <si>
    <t>Simple Annual SIR</t>
  </si>
  <si>
    <t>Turnkey Build Cost per Watt</t>
  </si>
  <si>
    <t>TOTAL CASH INFLOW</t>
  </si>
  <si>
    <t>TOTAL C-PACE INVESTMENT</t>
  </si>
  <si>
    <t>CASH INFLOWS</t>
  </si>
  <si>
    <t>System Size in Watts (DC)</t>
  </si>
  <si>
    <t xml:space="preserve"> &lt;--- Approximate Maximum Possible C-PACE Funding</t>
  </si>
  <si>
    <t>Y</t>
  </si>
  <si>
    <t>ITC Value</t>
  </si>
  <si>
    <t>MACRS Schedule</t>
  </si>
  <si>
    <t>(6 years -&gt;)</t>
  </si>
  <si>
    <t>MACRS Value</t>
  </si>
  <si>
    <t>Depreciable Basis</t>
  </si>
  <si>
    <t>&lt;--- Can the property owner take advantage of the ITC?</t>
  </si>
  <si>
    <t>&lt;--- Can the property owner take advantage of  MACRS benefits?</t>
  </si>
  <si>
    <t>Property Owner's Marginal Tax Rate</t>
  </si>
  <si>
    <t>Property Owner Marginal Tax Rate</t>
  </si>
  <si>
    <t>Depreciation Amount</t>
  </si>
  <si>
    <t>Investment Tax Credit</t>
  </si>
  <si>
    <t>Beginning Balance</t>
  </si>
  <si>
    <t>Payment</t>
  </si>
  <si>
    <t>Principal Paid</t>
  </si>
  <si>
    <t>Interest Paid</t>
  </si>
  <si>
    <t>Remaining Balance</t>
  </si>
  <si>
    <t>Term</t>
  </si>
  <si>
    <t>Rate</t>
  </si>
  <si>
    <t>PMT</t>
  </si>
  <si>
    <t>Principal</t>
  </si>
  <si>
    <t>Total</t>
  </si>
  <si>
    <t>N</t>
  </si>
  <si>
    <t>Counting Investment Tax Credit?</t>
  </si>
  <si>
    <t>ITC</t>
  </si>
  <si>
    <t>MACRS</t>
  </si>
  <si>
    <t>PACE Payments</t>
  </si>
  <si>
    <t>Annual Net Cash Flow</t>
  </si>
  <si>
    <t>Net Cumulative Cash Flow</t>
  </si>
  <si>
    <t>Savings to Investment Ratio (SIR)</t>
  </si>
  <si>
    <t>Project cost</t>
  </si>
  <si>
    <t>Amount financed</t>
  </si>
  <si>
    <t>Gross total cost savings over EUL</t>
  </si>
  <si>
    <t>Total PACE + O&amp;M payments over EUL</t>
  </si>
  <si>
    <t>% financed</t>
  </si>
  <si>
    <t>Owner equity contribution</t>
  </si>
  <si>
    <t>Interest rate</t>
  </si>
  <si>
    <t>Finance term, years</t>
  </si>
  <si>
    <t>Effective useful life – EUL (years)</t>
  </si>
  <si>
    <t>Gross project cost</t>
  </si>
  <si>
    <t>Financed amount (including closing costs)</t>
  </si>
  <si>
    <t>Federal ITC</t>
  </si>
  <si>
    <t>Expected Annual Solar Generation kWh</t>
  </si>
  <si>
    <t>EUL</t>
  </si>
  <si>
    <t>Solar PV Project Cost</t>
  </si>
  <si>
    <t>Total Project Cost</t>
  </si>
  <si>
    <t>Roof cost</t>
  </si>
  <si>
    <t>Total Tax Benefits (ITC + MACRS)</t>
  </si>
  <si>
    <t>Table 1. Financial Metrics over EUL</t>
  </si>
  <si>
    <t>Total Payments</t>
  </si>
  <si>
    <t>Inverter Replacement Costs</t>
  </si>
  <si>
    <t>Solar PV</t>
  </si>
  <si>
    <t>Counting MACRS Depreciation for Solar?</t>
  </si>
  <si>
    <t>Electric Tariff</t>
  </si>
  <si>
    <t>Electric Utility</t>
  </si>
  <si>
    <t>Electric Cost ($/kWh)</t>
  </si>
  <si>
    <t>Project Inputs</t>
  </si>
  <si>
    <t>Solar PV Inputs</t>
  </si>
  <si>
    <t>Year One Solar PV Production (kWh)</t>
  </si>
  <si>
    <t>Energy and Cost Inputs</t>
  </si>
  <si>
    <t>Solar PV Annual Performance Degradation</t>
  </si>
  <si>
    <t>Financing Inputs</t>
  </si>
  <si>
    <t>Tax and Depreciation</t>
  </si>
  <si>
    <t>Solar ITC</t>
  </si>
  <si>
    <t>&lt;--- Please note if the roof cost includes added insulation.</t>
  </si>
  <si>
    <t>Summary of  Financed Amount</t>
  </si>
  <si>
    <t>Degradation</t>
  </si>
  <si>
    <t>Measure #</t>
  </si>
  <si>
    <t>Electric Energy Cost - $/kWh</t>
  </si>
  <si>
    <t>Annual Electric Usage - kWh</t>
  </si>
  <si>
    <t>Electric Energy Savings (kWh/yr)</t>
  </si>
  <si>
    <t>RENEWABLE MEASURE</t>
  </si>
  <si>
    <t>Bucketed Amount</t>
  </si>
  <si>
    <t>less than/greater than</t>
  </si>
  <si>
    <t>Fixed Amount</t>
  </si>
  <si>
    <t>Percentage</t>
  </si>
  <si>
    <t>Fee</t>
  </si>
  <si>
    <t>Closing Fee ------------------&gt;</t>
  </si>
  <si>
    <t>Project Cost</t>
  </si>
  <si>
    <t>Total cost savings ($/yr)</t>
  </si>
  <si>
    <t>Closing cost</t>
  </si>
  <si>
    <t>Street Address</t>
  </si>
  <si>
    <t>City</t>
  </si>
  <si>
    <t>State</t>
  </si>
  <si>
    <t>Zip Code</t>
  </si>
  <si>
    <t>Grant</t>
  </si>
  <si>
    <t>SIR over EUL</t>
  </si>
  <si>
    <t>Table 2. Savings Summary</t>
  </si>
  <si>
    <t>The disclaimer contained in the "ReadMe" tab is an important portion of this spreadsheet</t>
  </si>
  <si>
    <t>SAVINGS-TO-INVESTMENT RATIO (SIR)</t>
  </si>
  <si>
    <t>Calculated</t>
  </si>
  <si>
    <t>&lt;--- Cells with this color are calculated cells</t>
  </si>
  <si>
    <t>&lt;--- Cells with this color are required field cells</t>
  </si>
  <si>
    <t>Required fields</t>
  </si>
  <si>
    <t>Installation cost</t>
  </si>
  <si>
    <t>&lt;--- Expected generation based on PVWatts or similar simulation tools</t>
  </si>
  <si>
    <t>C-PACE SIR Calculator for Solar</t>
  </si>
  <si>
    <t>Facility/Business Name</t>
  </si>
  <si>
    <t>&lt;--- From analysis of utility bills (see utility bill example tab)</t>
  </si>
  <si>
    <t>&lt;--- Eversource/UI/CMEEC</t>
  </si>
  <si>
    <t>&lt;--- What is the property owner's marginal tax rate (for calculating MACRS benefits)? 21% is default.</t>
  </si>
  <si>
    <t>&lt;--- Turnkey cost (equipment, installation, etc.)</t>
  </si>
  <si>
    <t>Roof/Structural Improvement Cost</t>
  </si>
  <si>
    <t>&lt;--- From module cutsheet</t>
  </si>
  <si>
    <t>&lt;--- From inverter cutsheet</t>
  </si>
  <si>
    <t>&lt;--- Enter the desired term length here (5-25), must be less than or equal to EUL</t>
  </si>
  <si>
    <t>&lt;--- To be calculated by CGB if available/applicable</t>
  </si>
  <si>
    <t>*red cells will turn yellow when values are entered</t>
  </si>
  <si>
    <t>$/kW</t>
  </si>
  <si>
    <t xml:space="preserve">$/kWh </t>
  </si>
  <si>
    <t>GS - General Service</t>
  </si>
  <si>
    <t>&lt;--- Energy cost savings are based on the components highlighted in yellow.</t>
  </si>
  <si>
    <t>&lt;--- Rate tarriff information is highlighted in orange.</t>
  </si>
  <si>
    <t>Examples from Bill</t>
  </si>
  <si>
    <r>
      <t xml:space="preserve">&lt;--- Demand charges should </t>
    </r>
    <r>
      <rPr>
        <b/>
        <i/>
        <u/>
        <sz val="12"/>
        <rFont val="Arial"/>
        <family val="2"/>
      </rPr>
      <t>NOT</t>
    </r>
    <r>
      <rPr>
        <b/>
        <sz val="12"/>
        <rFont val="Arial"/>
        <family val="2"/>
      </rPr>
      <t xml:space="preserve"> be included for solar PV projects, highlighted in green.</t>
    </r>
  </si>
  <si>
    <t>This tool is designed to help property owners, solar PV developers, and Connecticut Green Bank determine the approximate limit on C-PACE financing that can be made available for individual commercial-scale projects contemplated to be completed under the program. Pursuant to the enable law and C-PACE Program Guidelines, all projects funded under C-PACE must achieve a savings-to-investment ratio ("SIR") greater than 1, whereby "investment" refers solely to dollars sourced via C-PACE.</t>
  </si>
  <si>
    <t>Please start with the "INPUTS" Tab and enter all relevant project information in Column C.</t>
  </si>
  <si>
    <t>CT</t>
  </si>
  <si>
    <t>*cells will turn purple if bad values are entered and will need to be corrected</t>
  </si>
  <si>
    <r>
      <t xml:space="preserve">Solar PV System Expected Useful Life (Years) </t>
    </r>
    <r>
      <rPr>
        <i/>
        <sz val="8"/>
        <color rgb="FF404041"/>
        <rFont val="Arial"/>
        <family val="2"/>
      </rPr>
      <t>*based on warranties and/or inverter replacements</t>
    </r>
  </si>
  <si>
    <t>Total Financed Amount (inclusive of Closing Fees)</t>
  </si>
  <si>
    <t>Closing Fees</t>
  </si>
  <si>
    <t>Finance Amount before Closing Fees</t>
  </si>
  <si>
    <t>Owner Equity Contribution (if applicable)</t>
  </si>
  <si>
    <t>&lt;--- Default 0.5%</t>
  </si>
  <si>
    <t>&lt;--- AUTO-CALCULATED (From interest rates tab)</t>
  </si>
  <si>
    <t>Inverter Standard Warranty Period (Years)</t>
  </si>
  <si>
    <t>Inverter Extended Warranty Period (Years)</t>
  </si>
  <si>
    <t>Solar PV Module Performance Warranty (Years)</t>
  </si>
  <si>
    <t>C-PACE Financing Rate</t>
  </si>
  <si>
    <t>C-PACE Term (Years)</t>
  </si>
  <si>
    <t>Effective Useful Life (EUL) (Years)</t>
  </si>
  <si>
    <t>&lt;--- 20 years</t>
  </si>
  <si>
    <t>Electric Rate Tariff</t>
  </si>
  <si>
    <t>Buy-All Bid-In Tariff ($/kWh)</t>
  </si>
  <si>
    <t>System Size in Watts (AC)</t>
  </si>
  <si>
    <t>DC/AC Ratio</t>
  </si>
  <si>
    <t>&lt;--- AUTO-CALCULATED (From summary of pv measure tab)</t>
  </si>
  <si>
    <t>&lt;--- Please include inverter replacement cost in the relevant C-PACE SIR Model tabs if this value is greater than "Inverter Extended Warranty Period" value listed above. Please note that this value should be entered as a negative value.</t>
  </si>
  <si>
    <t>MACRS for solar</t>
  </si>
  <si>
    <t>Historical Site Annual Electric Use (kWh/yr)</t>
  </si>
  <si>
    <t>Anticipated Site Annual Electric Use (kWh/yr)</t>
  </si>
  <si>
    <t>&lt;--- If any forecasted electrification loads are included, please provide detailed explanation of how this was calculated as part of the backup documentation.</t>
  </si>
  <si>
    <t>&lt;--- Please provide the 12 month period considered and provide the electrical usage for those months as part of the backup documentation.</t>
  </si>
  <si>
    <t>Netting Tariff REC Value ($/kWh)</t>
  </si>
  <si>
    <t>Tariff Term (Years)</t>
  </si>
  <si>
    <t>Buy All Tariff Revenue</t>
  </si>
  <si>
    <t>BUY ALL SUMMARY</t>
  </si>
  <si>
    <t>First year electric energy generation (kWh/yr)</t>
  </si>
  <si>
    <t>First year electric energy generation (MMBtu/yr)</t>
  </si>
  <si>
    <t>Total electric generation over EUL (MMBtu)</t>
  </si>
  <si>
    <t>EUL revenue from generation ($)</t>
  </si>
  <si>
    <t>First year revenue from generation ($/yr)</t>
  </si>
  <si>
    <t>Netting tariff REC revenue (total over 20 years) ($)</t>
  </si>
  <si>
    <t>Total revenue from generation (total over 20 years) ($)</t>
  </si>
  <si>
    <t>Netting Tariff REC Revenue</t>
  </si>
  <si>
    <t>&lt;--- Total inverter capacity</t>
  </si>
  <si>
    <t>NETTING TARIFF SUMMARY</t>
  </si>
  <si>
    <t>Netting Tariff Electric Revenue</t>
  </si>
  <si>
    <t>Netting tariff electric revenue (total over 20 years) ($)</t>
  </si>
  <si>
    <t xml:space="preserve">&lt;--- 2.99% is default and maximum. Lower values are permissible. </t>
  </si>
  <si>
    <t>CGB Interest Rates for Projects $500k and Over</t>
  </si>
  <si>
    <t>CGB Interest Rates for Projects Under $500k</t>
  </si>
  <si>
    <t>&lt;--- 30% is default, adders can be included if applicable based on the Inflation Reduction Act</t>
  </si>
  <si>
    <t>Using this tool does not (1) substitute for an energy audit, technical reviewer report, or any other requirement under the C-PACE Program Guidelines, or (2) represent an offer for financing or guarantee Connecticut Green Bank approval of the proposed project.
As a potential participant in the C-PACE Program, you should seek any necessary outside legal counsel, accounting or engineering support to review contracts and energy assumptions and consider carefully the risks associated with accepting C-PACE Program financing, which include, but are not limited to, the following: (1) the Connecticut Green Bank does not guarantee energy savings, (2) information provided herein is for indicative purposes only and not to be relied upon by third parties, (3) fluctuations in energy prices, interest rates associated with the Connecticut Green Bank or other third-party financing, which are subject to change, occupancy or property use may affect the savings associated with a project, and (4) the success of a project may depend in part on various U.S. Federal or State of Connecticut policies and incentives that are subject to change.</t>
  </si>
  <si>
    <t>&lt;--- For systems greater than 200 kW AC, obtain this value from the contractor. For systems smaller than 200 kW AC, refer to Year 2 RFP.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</si>
</sst>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quot;$&quot;#,##0"/>
    <numFmt numFmtId="166" formatCode="0.000"/>
    <numFmt numFmtId="167" formatCode="_(&quot;$&quot;* #,##0_);_(&quot;$&quot;* \(#,##0\);_(&quot;$&quot;* &quot;-&quot;??_);_(@_)"/>
    <numFmt numFmtId="168" formatCode="&quot;$&quot;#,##0.00;[Red]&quot;$&quot;#,##0.00"/>
    <numFmt numFmtId="169" formatCode="0.0%"/>
    <numFmt numFmtId="170" formatCode="&quot;$&quot;#,##0;[Red]&quot;$&quot;#,##0"/>
    <numFmt numFmtId="171" formatCode="#,##0;[Red]#,##0"/>
    <numFmt numFmtId="172" formatCode="0;[Red]0"/>
    <numFmt numFmtId="173" formatCode="0.000%"/>
    <numFmt numFmtId="174" formatCode="_(* #,##0_);_(* \(#,##0\);_(* &quot;-&quot;??_);_(@_)"/>
    <numFmt numFmtId="175" formatCode="0.0"/>
    <numFmt numFmtId="176" formatCode="&quot;$&quot;#,##0.0000;[Red]&quot;$&quot;#,##0.0000"/>
    <numFmt numFmtId="177" formatCode="_(&quot;$&quot;* #,##0.000_);_(&quot;$&quot;* \(#,##0.000\);_(&quot;$&quot;* &quot;-&quot;??_);_(@_)"/>
    <numFmt numFmtId="178" formatCode="&quot;$&quot;#,##0.000"/>
    <numFmt numFmtId="179" formatCode="&quot;$&quot;#,##0.0000"/>
    <numFmt numFmtId="180" formatCode="&quot;$&quot;#,##0.000000"/>
  </numFmts>
  <fonts count="78" x14ac:knownFonts="1">
    <font>
      <sz val="11"/>
      <color theme="1"/>
      <name val="Calibri"/>
      <family val="2"/>
      <scheme val="minor"/>
    </font>
    <font>
      <sz val="11"/>
      <color theme="1"/>
      <name val="Calibri"/>
      <family val="2"/>
      <scheme val="minor"/>
    </font>
    <font>
      <b/>
      <sz val="13"/>
      <color theme="3"/>
      <name val="Calibri"/>
      <family val="2"/>
      <scheme val="minor"/>
    </font>
    <font>
      <b/>
      <sz val="11"/>
      <color rgb="FFFA7D00"/>
      <name val="Calibri"/>
      <family val="2"/>
      <scheme val="minor"/>
    </font>
    <font>
      <b/>
      <sz val="11"/>
      <color theme="0"/>
      <name val="Calibri"/>
      <family val="2"/>
      <scheme val="minor"/>
    </font>
    <font>
      <b/>
      <sz val="11"/>
      <color theme="1"/>
      <name val="Calibri"/>
      <family val="2"/>
      <scheme val="minor"/>
    </font>
    <font>
      <b/>
      <sz val="16"/>
      <color theme="1"/>
      <name val="Calibri"/>
      <family val="2"/>
      <scheme val="minor"/>
    </font>
    <font>
      <sz val="10"/>
      <name val="Arial"/>
      <family val="2"/>
    </font>
    <font>
      <sz val="11"/>
      <color indexed="8"/>
      <name val="Calibri"/>
      <family val="2"/>
    </font>
    <font>
      <sz val="11"/>
      <color indexed="9"/>
      <name val="Calibri"/>
      <family val="2"/>
    </font>
    <font>
      <b/>
      <sz val="11"/>
      <color indexed="9"/>
      <name val="Calibri"/>
      <family val="2"/>
    </font>
    <font>
      <b/>
      <sz val="11"/>
      <color indexed="8"/>
      <name val="Calibri"/>
      <family val="2"/>
    </font>
    <font>
      <sz val="11"/>
      <color indexed="10"/>
      <name val="Calibri"/>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b/>
      <sz val="18"/>
      <color theme="3"/>
      <name val="Cambria"/>
      <family val="1"/>
    </font>
    <font>
      <sz val="11"/>
      <color rgb="FF9C0006"/>
      <name val="Calibri"/>
      <family val="2"/>
      <scheme val="minor"/>
    </font>
    <font>
      <b/>
      <sz val="11"/>
      <color rgb="FF3F3F3F"/>
      <name val="Calibri"/>
      <family val="2"/>
      <scheme val="minor"/>
    </font>
    <font>
      <b/>
      <sz val="11"/>
      <color theme="1" tint="0.249977111117893"/>
      <name val="Calibri"/>
      <family val="2"/>
      <scheme val="minor"/>
    </font>
    <font>
      <b/>
      <sz val="11"/>
      <color rgb="FFFFFF00"/>
      <name val="Calibri"/>
      <family val="2"/>
      <scheme val="minor"/>
    </font>
    <font>
      <sz val="10"/>
      <name val="Calibri"/>
      <family val="1"/>
      <scheme val="minor"/>
    </font>
    <font>
      <sz val="11"/>
      <color theme="1"/>
      <name val="Agency FB"/>
      <family val="2"/>
    </font>
    <font>
      <sz val="11"/>
      <color rgb="FF3F3F76"/>
      <name val="Agency FB"/>
      <family val="2"/>
    </font>
    <font>
      <b/>
      <sz val="11"/>
      <color rgb="FFFA7D00"/>
      <name val="Agency FB"/>
      <family val="2"/>
    </font>
    <font>
      <sz val="11"/>
      <name val="Calibri"/>
      <family val="2"/>
      <scheme val="minor"/>
    </font>
    <font>
      <b/>
      <i/>
      <sz val="11"/>
      <color theme="1"/>
      <name val="Calibri"/>
      <family val="2"/>
      <scheme val="minor"/>
    </font>
    <font>
      <b/>
      <sz val="11"/>
      <name val="Calibri"/>
      <family val="2"/>
      <scheme val="minor"/>
    </font>
    <font>
      <i/>
      <sz val="11"/>
      <name val="Calibri"/>
      <family val="2"/>
      <scheme val="minor"/>
    </font>
    <font>
      <i/>
      <sz val="11"/>
      <color theme="1" tint="0.34998626667073579"/>
      <name val="Calibri"/>
      <family val="2"/>
      <scheme val="minor"/>
    </font>
    <font>
      <b/>
      <u/>
      <sz val="14"/>
      <color theme="1"/>
      <name val="Calibri"/>
      <family val="2"/>
      <scheme val="minor"/>
    </font>
    <font>
      <sz val="11"/>
      <color theme="0" tint="-0.249977111117893"/>
      <name val="Calibri"/>
      <family val="2"/>
      <scheme val="minor"/>
    </font>
    <font>
      <sz val="10"/>
      <name val="Times New Roman"/>
      <family val="1"/>
    </font>
    <font>
      <b/>
      <u/>
      <sz val="11"/>
      <color theme="1"/>
      <name val="Calibri"/>
      <family val="2"/>
      <scheme val="minor"/>
    </font>
    <font>
      <sz val="11"/>
      <color rgb="FF000000"/>
      <name val="Calibri"/>
      <family val="2"/>
      <scheme val="minor"/>
    </font>
    <font>
      <b/>
      <sz val="11"/>
      <color rgb="FFFF0000"/>
      <name val="Calibri"/>
      <family val="2"/>
      <scheme val="minor"/>
    </font>
    <font>
      <b/>
      <sz val="9"/>
      <color theme="1"/>
      <name val="Arial"/>
      <family val="2"/>
    </font>
    <font>
      <sz val="9"/>
      <color theme="1"/>
      <name val="Arial"/>
      <family val="2"/>
    </font>
    <font>
      <sz val="11"/>
      <color theme="1"/>
      <name val="Arial"/>
      <family val="2"/>
    </font>
    <font>
      <b/>
      <sz val="9"/>
      <color theme="0"/>
      <name val="Arial"/>
      <family val="2"/>
    </font>
    <font>
      <sz val="11"/>
      <color theme="0"/>
      <name val="Arial"/>
      <family val="2"/>
    </font>
    <font>
      <b/>
      <sz val="11"/>
      <color theme="1"/>
      <name val="Arial"/>
      <family val="2"/>
    </font>
    <font>
      <b/>
      <sz val="11"/>
      <color theme="3"/>
      <name val="Arial"/>
      <family val="2"/>
    </font>
    <font>
      <sz val="9"/>
      <name val="Arial"/>
      <family val="2"/>
    </font>
    <font>
      <sz val="9"/>
      <color theme="5" tint="-0.499984740745262"/>
      <name val="Arial"/>
      <family val="2"/>
    </font>
    <font>
      <b/>
      <sz val="9"/>
      <color theme="5" tint="-0.499984740745262"/>
      <name val="Arial"/>
      <family val="2"/>
    </font>
    <font>
      <b/>
      <sz val="9"/>
      <color rgb="FFFFFFFF"/>
      <name val="Arial"/>
      <family val="2"/>
    </font>
    <font>
      <b/>
      <sz val="11"/>
      <color theme="1"/>
      <name val="Calibri"/>
      <family val="2"/>
    </font>
    <font>
      <sz val="11"/>
      <color rgb="FF000000"/>
      <name val="Calibri"/>
      <family val="2"/>
    </font>
    <font>
      <b/>
      <sz val="12"/>
      <color theme="1"/>
      <name val="Arial"/>
      <family val="2"/>
    </font>
    <font>
      <b/>
      <sz val="16"/>
      <color theme="1"/>
      <name val="Arial"/>
      <family val="2"/>
    </font>
    <font>
      <sz val="9"/>
      <color rgb="FF404041"/>
      <name val="Arial"/>
      <family val="2"/>
    </font>
    <font>
      <sz val="9"/>
      <color rgb="FF212121"/>
      <name val="Arial"/>
      <family val="2"/>
    </font>
    <font>
      <i/>
      <sz val="9"/>
      <color theme="3"/>
      <name val="Arial"/>
      <family val="2"/>
    </font>
    <font>
      <b/>
      <sz val="12"/>
      <color theme="4"/>
      <name val="Arial"/>
      <family val="2"/>
    </font>
    <font>
      <sz val="9"/>
      <color rgb="FF000000"/>
      <name val="Arial"/>
      <family val="2"/>
    </font>
    <font>
      <b/>
      <sz val="10"/>
      <color theme="0"/>
      <name val="Arial"/>
      <family val="2"/>
    </font>
    <font>
      <b/>
      <sz val="11"/>
      <color rgb="FF9C0006"/>
      <name val="Calibri"/>
      <family val="2"/>
      <scheme val="minor"/>
    </font>
    <font>
      <b/>
      <sz val="11"/>
      <color rgb="FFFF0000"/>
      <name val="Arial"/>
      <family val="2"/>
    </font>
    <font>
      <b/>
      <sz val="9"/>
      <name val="Arial"/>
      <family val="2"/>
    </font>
    <font>
      <b/>
      <i/>
      <sz val="9"/>
      <color theme="3"/>
      <name val="Arial"/>
      <family val="2"/>
    </font>
    <font>
      <b/>
      <sz val="9"/>
      <color rgb="FFFF0000"/>
      <name val="Arial"/>
      <family val="2"/>
    </font>
    <font>
      <b/>
      <sz val="9"/>
      <color theme="8"/>
      <name val="Arial"/>
      <family val="2"/>
    </font>
    <font>
      <b/>
      <sz val="9"/>
      <color theme="3"/>
      <name val="Arial"/>
      <family val="2"/>
    </font>
    <font>
      <b/>
      <sz val="12"/>
      <name val="Arial"/>
      <family val="2"/>
    </font>
    <font>
      <b/>
      <i/>
      <sz val="12"/>
      <color theme="1"/>
      <name val="Calibri"/>
      <family val="2"/>
      <scheme val="minor"/>
    </font>
    <font>
      <b/>
      <i/>
      <sz val="12"/>
      <color theme="1"/>
      <name val="Arial"/>
      <family val="2"/>
    </font>
    <font>
      <sz val="12"/>
      <color theme="1"/>
      <name val="Arial"/>
      <family val="2"/>
    </font>
    <font>
      <b/>
      <i/>
      <u/>
      <sz val="12"/>
      <name val="Arial"/>
      <family val="2"/>
    </font>
    <font>
      <i/>
      <sz val="8"/>
      <color rgb="FF404041"/>
      <name val="Arial"/>
      <family val="2"/>
    </font>
  </fonts>
  <fills count="62">
    <fill>
      <patternFill patternType="none"/>
    </fill>
    <fill>
      <patternFill patternType="gray125"/>
    </fill>
    <fill>
      <patternFill patternType="solid">
        <fgColor rgb="FFF2F2F2"/>
      </patternFill>
    </fill>
    <fill>
      <patternFill patternType="solid">
        <fgColor rgb="FFA5A5A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47"/>
        <bgColor indexed="64"/>
      </patternFill>
    </fill>
    <fill>
      <patternFill patternType="solid">
        <fgColor rgb="FFFFEB9C"/>
        <bgColor indexed="64"/>
      </patternFill>
    </fill>
    <fill>
      <patternFill patternType="solid">
        <fgColor indexed="26"/>
        <bgColor indexed="64"/>
      </patternFill>
    </fill>
    <fill>
      <patternFill patternType="solid">
        <fgColor rgb="FF0070C0"/>
        <bgColor indexed="64"/>
      </patternFill>
    </fill>
    <fill>
      <patternFill patternType="solid">
        <fgColor rgb="FFFFC7CE"/>
      </patternFill>
    </fill>
    <fill>
      <patternFill patternType="solid">
        <fgColor theme="3"/>
        <bgColor indexed="64"/>
      </patternFill>
    </fill>
    <fill>
      <patternFill patternType="solid">
        <fgColor rgb="FFFFCC99"/>
      </patternFill>
    </fill>
    <fill>
      <patternFill patternType="solid">
        <fgColor theme="6" tint="0.79998168889431442"/>
        <bgColor theme="6" tint="0.79998168889431442"/>
      </patternFill>
    </fill>
    <fill>
      <patternFill patternType="solid">
        <fgColor theme="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1"/>
        <bgColor indexed="64"/>
      </patternFill>
    </fill>
    <fill>
      <patternFill patternType="solid">
        <fgColor rgb="FFC00000"/>
        <bgColor indexed="64"/>
      </patternFill>
    </fill>
    <fill>
      <patternFill patternType="solid">
        <fgColor theme="0"/>
        <bgColor indexed="64"/>
      </patternFill>
    </fill>
    <fill>
      <patternFill patternType="solid">
        <fgColor rgb="FF006600"/>
        <bgColor indexed="64"/>
      </patternFill>
    </fill>
    <fill>
      <patternFill patternType="solid">
        <fgColor rgb="FF92D050"/>
        <bgColor indexed="64"/>
      </patternFill>
    </fill>
    <fill>
      <patternFill patternType="solid">
        <fgColor rgb="FFFFC000"/>
        <bgColor indexed="64"/>
      </patternFill>
    </fill>
    <fill>
      <patternFill patternType="solid">
        <fgColor rgb="FFBEE4DA"/>
        <bgColor indexed="64"/>
      </patternFill>
    </fill>
    <fill>
      <patternFill patternType="solid">
        <fgColor rgb="FF005089"/>
        <bgColor indexed="64"/>
      </patternFill>
    </fill>
    <fill>
      <patternFill patternType="solid">
        <fgColor rgb="FF1F497D"/>
        <bgColor indexed="64"/>
      </patternFill>
    </fill>
    <fill>
      <patternFill patternType="solid">
        <fgColor rgb="FFA6A6A6"/>
        <bgColor indexed="64"/>
      </patternFill>
    </fill>
    <fill>
      <patternFill patternType="solid">
        <fgColor rgb="FFEBEBEB"/>
        <bgColor indexed="64"/>
      </patternFill>
    </fill>
    <fill>
      <patternFill patternType="solid">
        <fgColor rgb="FFFFFFFF"/>
        <bgColor indexed="64"/>
      </patternFill>
    </fill>
    <fill>
      <patternFill patternType="solid">
        <fgColor rgb="FFCADEE0"/>
        <bgColor indexed="64"/>
      </patternFill>
    </fill>
    <fill>
      <patternFill patternType="solid">
        <fgColor rgb="FFFFFF66"/>
        <bgColor indexed="64"/>
      </patternFill>
    </fill>
    <fill>
      <patternFill patternType="solid">
        <fgColor rgb="FFFF0000"/>
        <bgColor indexed="64"/>
      </patternFill>
    </fill>
    <fill>
      <patternFill patternType="solid">
        <fgColor rgb="FFFFFF00"/>
        <bgColor indexed="64"/>
      </patternFill>
    </fill>
    <fill>
      <patternFill patternType="solid">
        <fgColor rgb="FF33ED37"/>
        <bgColor indexed="64"/>
      </patternFill>
    </fill>
    <fill>
      <patternFill patternType="solid">
        <fgColor rgb="FFFF6600"/>
        <bgColor indexed="64"/>
      </patternFill>
    </fill>
    <fill>
      <patternFill patternType="solid">
        <fgColor theme="7" tint="0.59999389629810485"/>
        <bgColor indexed="64"/>
      </patternFill>
    </fill>
  </fills>
  <borders count="54">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auto="1"/>
      </left>
      <right style="double">
        <color auto="1"/>
      </right>
      <top style="double">
        <color auto="1"/>
      </top>
      <bottom style="double">
        <color auto="1"/>
      </bottom>
      <diagonal/>
    </border>
    <border>
      <left/>
      <right/>
      <top/>
      <bottom style="thick">
        <color auto="1"/>
      </bottom>
      <diagonal/>
    </border>
    <border>
      <left/>
      <right/>
      <top/>
      <bottom style="double">
        <color auto="1"/>
      </bottom>
      <diagonal/>
    </border>
    <border>
      <left/>
      <right/>
      <top style="thin">
        <color auto="1"/>
      </top>
      <bottom style="double">
        <color auto="1"/>
      </bottom>
      <diagonal/>
    </border>
    <border>
      <left style="thin">
        <color rgb="FF3F3F3F"/>
      </left>
      <right style="thin">
        <color rgb="FF3F3F3F"/>
      </right>
      <top style="thin">
        <color rgb="FF3F3F3F"/>
      </top>
      <bottom style="thin">
        <color rgb="FF3F3F3F"/>
      </bottom>
      <diagonal/>
    </border>
    <border>
      <left/>
      <right/>
      <top style="thin">
        <color rgb="FF3F3F3F"/>
      </top>
      <bottom style="thin">
        <color rgb="FF3F3F3F"/>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top/>
      <bottom/>
      <diagonal/>
    </border>
    <border>
      <left style="medium">
        <color indexed="64"/>
      </left>
      <right/>
      <top style="thin">
        <color rgb="FF3F3F3F"/>
      </top>
      <bottom style="thin">
        <color rgb="FF3F3F3F"/>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top/>
      <bottom style="medium">
        <color theme="4"/>
      </bottom>
      <diagonal/>
    </border>
    <border>
      <left style="thin">
        <color rgb="FFD6D6D6"/>
      </left>
      <right style="thin">
        <color rgb="FFD6D6D6"/>
      </right>
      <top style="thin">
        <color rgb="FFD6D6D6"/>
      </top>
      <bottom style="thin">
        <color rgb="FFD6D6D6"/>
      </bottom>
      <diagonal/>
    </border>
    <border>
      <left style="thin">
        <color auto="1"/>
      </left>
      <right style="medium">
        <color indexed="64"/>
      </right>
      <top/>
      <bottom/>
      <diagonal/>
    </border>
    <border>
      <left style="medium">
        <color indexed="64"/>
      </left>
      <right style="thin">
        <color auto="1"/>
      </right>
      <top/>
      <bottom/>
      <diagonal/>
    </border>
    <border>
      <left style="thin">
        <color auto="1"/>
      </left>
      <right style="medium">
        <color indexed="64"/>
      </right>
      <top/>
      <bottom style="medium">
        <color indexed="64"/>
      </bottom>
      <diagonal/>
    </border>
    <border>
      <left style="medium">
        <color indexed="64"/>
      </left>
      <right style="thin">
        <color auto="1"/>
      </right>
      <top style="medium">
        <color indexed="64"/>
      </top>
      <bottom style="thin">
        <color indexed="64"/>
      </bottom>
      <diagonal/>
    </border>
    <border>
      <left style="thin">
        <color auto="1"/>
      </left>
      <right style="medium">
        <color indexed="64"/>
      </right>
      <top style="medium">
        <color indexed="64"/>
      </top>
      <bottom style="thin">
        <color indexed="64"/>
      </bottom>
      <diagonal/>
    </border>
    <border>
      <left style="medium">
        <color indexed="64"/>
      </left>
      <right style="thin">
        <color auto="1"/>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105">
    <xf numFmtId="0" fontId="0" fillId="0" borderId="0"/>
    <xf numFmtId="44" fontId="1" fillId="0" borderId="0" applyFont="0" applyFill="0" applyBorder="0" applyAlignment="0" applyProtection="0"/>
    <xf numFmtId="0" fontId="2" fillId="0" borderId="1" applyNumberFormat="0" applyFill="0" applyAlignment="0" applyProtection="0"/>
    <xf numFmtId="0" fontId="3" fillId="2" borderId="2" applyNumberFormat="0" applyAlignment="0" applyProtection="0"/>
    <xf numFmtId="0" fontId="4" fillId="3" borderId="3" applyNumberFormat="0" applyAlignment="0" applyProtection="0"/>
    <xf numFmtId="0" fontId="7" fillId="0" borderId="0"/>
    <xf numFmtId="9" fontId="7" fillId="0" borderId="0"/>
    <xf numFmtId="44" fontId="7" fillId="0" borderId="0"/>
    <xf numFmtId="42" fontId="7" fillId="0" borderId="0"/>
    <xf numFmtId="43" fontId="7" fillId="0" borderId="0"/>
    <xf numFmtId="41" fontId="7" fillId="0" borderId="0"/>
    <xf numFmtId="0" fontId="7" fillId="0" borderId="0"/>
    <xf numFmtId="0" fontId="1" fillId="0" borderId="0"/>
    <xf numFmtId="44" fontId="1" fillId="0" borderId="0"/>
    <xf numFmtId="0" fontId="7" fillId="0" borderId="0"/>
    <xf numFmtId="44" fontId="7" fillId="0" borderId="0"/>
    <xf numFmtId="43" fontId="7" fillId="0" borderId="0"/>
    <xf numFmtId="9" fontId="7" fillId="0" borderId="0"/>
    <xf numFmtId="0" fontId="7" fillId="0" borderId="0"/>
    <xf numFmtId="0" fontId="7" fillId="0" borderId="0"/>
    <xf numFmtId="0" fontId="1" fillId="0" borderId="0"/>
    <xf numFmtId="44" fontId="1" fillId="0" borderId="0"/>
    <xf numFmtId="44" fontId="7" fillId="0" borderId="0"/>
    <xf numFmtId="43" fontId="7" fillId="0" borderId="0"/>
    <xf numFmtId="9" fontId="7" fillId="0" borderId="0"/>
    <xf numFmtId="0" fontId="8" fillId="4" borderId="0"/>
    <xf numFmtId="0" fontId="8" fillId="5" borderId="0"/>
    <xf numFmtId="0" fontId="8" fillId="6" borderId="0"/>
    <xf numFmtId="0" fontId="8" fillId="7" borderId="0"/>
    <xf numFmtId="0" fontId="8" fillId="8" borderId="0"/>
    <xf numFmtId="0" fontId="8" fillId="9" borderId="0"/>
    <xf numFmtId="0" fontId="8" fillId="10" borderId="0"/>
    <xf numFmtId="0" fontId="8" fillId="11" borderId="0"/>
    <xf numFmtId="0" fontId="8" fillId="12" borderId="0"/>
    <xf numFmtId="0" fontId="8" fillId="13" borderId="0"/>
    <xf numFmtId="0" fontId="8" fillId="14" borderId="0"/>
    <xf numFmtId="0" fontId="8" fillId="15" borderId="0"/>
    <xf numFmtId="0" fontId="9" fillId="16" borderId="0"/>
    <xf numFmtId="0" fontId="9" fillId="17" borderId="0"/>
    <xf numFmtId="0" fontId="9" fillId="18" borderId="0"/>
    <xf numFmtId="0" fontId="9" fillId="19" borderId="0"/>
    <xf numFmtId="0" fontId="9" fillId="20" borderId="0"/>
    <xf numFmtId="0" fontId="9" fillId="21" borderId="0"/>
    <xf numFmtId="0" fontId="9" fillId="22" borderId="0"/>
    <xf numFmtId="0" fontId="9" fillId="23" borderId="0"/>
    <xf numFmtId="0" fontId="9" fillId="24" borderId="0"/>
    <xf numFmtId="0" fontId="9" fillId="25" borderId="0"/>
    <xf numFmtId="0" fontId="9" fillId="26" borderId="0"/>
    <xf numFmtId="0" fontId="9" fillId="27" borderId="0"/>
    <xf numFmtId="0" fontId="13" fillId="28" borderId="0"/>
    <xf numFmtId="0" fontId="14" fillId="29" borderId="10"/>
    <xf numFmtId="0" fontId="10" fillId="30" borderId="16"/>
    <xf numFmtId="43" fontId="7" fillId="0" borderId="0"/>
    <xf numFmtId="44" fontId="8" fillId="0" borderId="0"/>
    <xf numFmtId="44" fontId="7" fillId="0" borderId="0"/>
    <xf numFmtId="0" fontId="15" fillId="0" borderId="0"/>
    <xf numFmtId="0" fontId="16" fillId="31" borderId="0"/>
    <xf numFmtId="0" fontId="17" fillId="0" borderId="17"/>
    <xf numFmtId="0" fontId="18" fillId="0" borderId="17"/>
    <xf numFmtId="0" fontId="19" fillId="0" borderId="12"/>
    <xf numFmtId="0" fontId="19" fillId="0" borderId="0"/>
    <xf numFmtId="0" fontId="20" fillId="32" borderId="10"/>
    <xf numFmtId="0" fontId="21" fillId="0" borderId="18"/>
    <xf numFmtId="0" fontId="22" fillId="33" borderId="0"/>
    <xf numFmtId="0" fontId="7" fillId="0" borderId="0"/>
    <xf numFmtId="0" fontId="8" fillId="0" borderId="0"/>
    <xf numFmtId="0" fontId="7" fillId="34" borderId="10"/>
    <xf numFmtId="0" fontId="23" fillId="29" borderId="10"/>
    <xf numFmtId="9" fontId="7" fillId="0" borderId="0"/>
    <xf numFmtId="0" fontId="24" fillId="0" borderId="0"/>
    <xf numFmtId="0" fontId="11" fillId="0" borderId="19"/>
    <xf numFmtId="0" fontId="12" fillId="0" borderId="0"/>
    <xf numFmtId="0" fontId="1" fillId="0" borderId="0"/>
    <xf numFmtId="44" fontId="1"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36" borderId="0" applyNumberFormat="0" applyBorder="0" applyAlignment="0" applyProtection="0"/>
    <xf numFmtId="0" fontId="26" fillId="2" borderId="20" applyNumberFormat="0" applyAlignment="0" applyProtection="0"/>
    <xf numFmtId="0" fontId="29" fillId="0" borderId="0"/>
    <xf numFmtId="0" fontId="30" fillId="39" borderId="0" applyNumberFormat="0" applyBorder="0" applyAlignment="0" applyProtection="0"/>
    <xf numFmtId="0" fontId="31" fillId="38" borderId="2" applyNumberFormat="0" applyAlignment="0" applyProtection="0"/>
    <xf numFmtId="0" fontId="32" fillId="2" borderId="2" applyNumberFormat="0" applyAlignment="0" applyProtection="0"/>
    <xf numFmtId="9" fontId="1" fillId="0" borderId="0" applyFont="0" applyFill="0" applyBorder="0" applyAlignment="0" applyProtection="0"/>
    <xf numFmtId="0" fontId="40" fillId="0" borderId="0"/>
    <xf numFmtId="9" fontId="40"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57" fillId="0" borderId="23"/>
    <xf numFmtId="0" fontId="59" fillId="0" borderId="0"/>
    <xf numFmtId="0" fontId="61" fillId="0" borderId="0"/>
  </cellStyleXfs>
  <cellXfs count="309">
    <xf numFmtId="0" fontId="0" fillId="0" borderId="0" xfId="0"/>
    <xf numFmtId="0" fontId="33" fillId="42" borderId="0" xfId="0" applyFont="1" applyFill="1"/>
    <xf numFmtId="165" fontId="5" fillId="45" borderId="10" xfId="0" applyNumberFormat="1" applyFont="1" applyFill="1" applyBorder="1" applyAlignment="1">
      <alignment horizontal="center"/>
    </xf>
    <xf numFmtId="170" fontId="0" fillId="0" borderId="10" xfId="0" applyNumberFormat="1" applyBorder="1" applyAlignment="1">
      <alignment horizontal="center"/>
    </xf>
    <xf numFmtId="166" fontId="0" fillId="0" borderId="10" xfId="0" applyNumberFormat="1" applyBorder="1" applyAlignment="1">
      <alignment horizontal="center"/>
    </xf>
    <xf numFmtId="0" fontId="38" fillId="0" borderId="0" xfId="0" applyFont="1"/>
    <xf numFmtId="0" fontId="6" fillId="0" borderId="0" xfId="0" applyFont="1" applyAlignment="1">
      <alignment horizontal="left" vertical="center" wrapText="1"/>
    </xf>
    <xf numFmtId="0" fontId="0" fillId="0" borderId="0" xfId="0" applyAlignment="1">
      <alignment horizontal="center"/>
    </xf>
    <xf numFmtId="9" fontId="0" fillId="0" borderId="0" xfId="0" applyNumberFormat="1"/>
    <xf numFmtId="0" fontId="41" fillId="0" borderId="0" xfId="0" applyFont="1" applyAlignment="1">
      <alignment horizontal="center" vertical="center" wrapText="1"/>
    </xf>
    <xf numFmtId="0" fontId="41" fillId="0" borderId="4"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5" xfId="0" applyFont="1" applyBorder="1" applyAlignment="1">
      <alignment horizontal="center" vertical="center" wrapText="1"/>
    </xf>
    <xf numFmtId="168" fontId="0" fillId="0" borderId="0" xfId="0" applyNumberFormat="1"/>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3" fontId="0" fillId="0" borderId="0" xfId="0" applyNumberFormat="1"/>
    <xf numFmtId="168" fontId="0" fillId="0" borderId="0" xfId="0" applyNumberFormat="1" applyAlignment="1">
      <alignment horizontal="center"/>
    </xf>
    <xf numFmtId="172" fontId="42" fillId="0" borderId="6" xfId="0" applyNumberFormat="1" applyFont="1" applyBorder="1" applyAlignment="1">
      <alignment horizontal="center" vertical="center" wrapText="1"/>
    </xf>
    <xf numFmtId="168" fontId="0" fillId="0" borderId="0" xfId="0" applyNumberFormat="1" applyAlignment="1">
      <alignment horizontal="center" vertical="center" wrapText="1"/>
    </xf>
    <xf numFmtId="168" fontId="0" fillId="0" borderId="7" xfId="0" applyNumberFormat="1" applyBorder="1" applyAlignment="1">
      <alignment horizontal="center" vertical="center" wrapText="1"/>
    </xf>
    <xf numFmtId="0" fontId="0" fillId="0" borderId="4" xfId="0" applyBorder="1" applyAlignment="1">
      <alignment horizontal="center"/>
    </xf>
    <xf numFmtId="0" fontId="0" fillId="0" borderId="11" xfId="0" applyBorder="1" applyAlignment="1">
      <alignment horizontal="center"/>
    </xf>
    <xf numFmtId="0" fontId="0" fillId="0" borderId="5" xfId="0" applyBorder="1" applyAlignment="1">
      <alignment horizontal="center"/>
    </xf>
    <xf numFmtId="0" fontId="5" fillId="0" borderId="8" xfId="0" applyFont="1" applyBorder="1" applyAlignment="1">
      <alignment horizontal="center"/>
    </xf>
    <xf numFmtId="8" fontId="5" fillId="0" borderId="12" xfId="0" applyNumberFormat="1" applyFont="1" applyBorder="1" applyAlignment="1">
      <alignment horizontal="center" vertical="center" wrapText="1"/>
    </xf>
    <xf numFmtId="0" fontId="0" fillId="0" borderId="9" xfId="0" applyBorder="1" applyAlignment="1">
      <alignment horizontal="center"/>
    </xf>
    <xf numFmtId="10" fontId="0" fillId="0" borderId="0" xfId="0" applyNumberFormat="1"/>
    <xf numFmtId="165" fontId="0" fillId="0" borderId="0" xfId="0" applyNumberFormat="1"/>
    <xf numFmtId="6" fontId="0" fillId="0" borderId="0" xfId="0" applyNumberFormat="1"/>
    <xf numFmtId="171" fontId="0" fillId="0" borderId="0" xfId="0" applyNumberFormat="1"/>
    <xf numFmtId="165" fontId="43" fillId="45" borderId="10" xfId="0" applyNumberFormat="1" applyFont="1" applyFill="1" applyBorder="1" applyAlignment="1">
      <alignment horizontal="center"/>
    </xf>
    <xf numFmtId="0" fontId="0" fillId="45" borderId="26" xfId="0" applyFill="1" applyBorder="1"/>
    <xf numFmtId="0" fontId="33" fillId="42" borderId="4" xfId="0" applyFont="1" applyFill="1" applyBorder="1"/>
    <xf numFmtId="0" fontId="33" fillId="42" borderId="11" xfId="0" applyFont="1" applyFill="1" applyBorder="1"/>
    <xf numFmtId="0" fontId="0" fillId="45" borderId="7" xfId="0" applyFill="1" applyBorder="1"/>
    <xf numFmtId="0" fontId="0" fillId="45" borderId="12" xfId="0" applyFill="1" applyBorder="1"/>
    <xf numFmtId="0" fontId="0" fillId="45" borderId="9" xfId="0" applyFill="1" applyBorder="1"/>
    <xf numFmtId="0" fontId="28" fillId="35" borderId="10" xfId="0" applyFont="1" applyFill="1" applyBorder="1" applyAlignment="1">
      <alignment horizontal="center"/>
    </xf>
    <xf numFmtId="171" fontId="27" fillId="40" borderId="10" xfId="0" applyNumberFormat="1" applyFont="1" applyFill="1" applyBorder="1" applyAlignment="1">
      <alignment horizontal="center"/>
    </xf>
    <xf numFmtId="164" fontId="27" fillId="40" borderId="10" xfId="0" applyNumberFormat="1" applyFont="1" applyFill="1" applyBorder="1" applyAlignment="1">
      <alignment horizontal="center"/>
    </xf>
    <xf numFmtId="0" fontId="0" fillId="43" borderId="10" xfId="0" applyFill="1" applyBorder="1"/>
    <xf numFmtId="165" fontId="0" fillId="45" borderId="10" xfId="0" applyNumberFormat="1" applyFill="1" applyBorder="1" applyAlignment="1">
      <alignment horizontal="center"/>
    </xf>
    <xf numFmtId="167" fontId="0" fillId="45" borderId="10" xfId="0" applyNumberFormat="1" applyFill="1" applyBorder="1"/>
    <xf numFmtId="0" fontId="46" fillId="0" borderId="0" xfId="0" applyFont="1"/>
    <xf numFmtId="0" fontId="48" fillId="0" borderId="0" xfId="0" applyFont="1" applyAlignment="1">
      <alignment horizontal="center"/>
    </xf>
    <xf numFmtId="0" fontId="50" fillId="0" borderId="0" xfId="2" applyFont="1" applyBorder="1" applyProtection="1"/>
    <xf numFmtId="0" fontId="49" fillId="0" borderId="0" xfId="0" applyFont="1"/>
    <xf numFmtId="0" fontId="51" fillId="0" borderId="0" xfId="2" applyFont="1" applyBorder="1" applyProtection="1"/>
    <xf numFmtId="0" fontId="44" fillId="0" borderId="0" xfId="0" applyFont="1"/>
    <xf numFmtId="0" fontId="45" fillId="0" borderId="0" xfId="0" applyFont="1"/>
    <xf numFmtId="0" fontId="45" fillId="0" borderId="0" xfId="0" applyFont="1" applyAlignment="1">
      <alignment horizontal="center"/>
    </xf>
    <xf numFmtId="0" fontId="53" fillId="0" borderId="0" xfId="0" applyFont="1" applyAlignment="1">
      <alignment horizontal="center"/>
    </xf>
    <xf numFmtId="168" fontId="45" fillId="0" borderId="0" xfId="0" applyNumberFormat="1" applyFont="1"/>
    <xf numFmtId="0" fontId="54" fillId="51" borderId="0" xfId="0" applyFont="1" applyFill="1" applyAlignment="1">
      <alignment horizontal="right" vertical="center"/>
    </xf>
    <xf numFmtId="0" fontId="54" fillId="51" borderId="0" xfId="0" applyFont="1" applyFill="1" applyAlignment="1">
      <alignment horizontal="right" vertical="center" wrapText="1"/>
    </xf>
    <xf numFmtId="0" fontId="5" fillId="0" borderId="0" xfId="0" applyFont="1"/>
    <xf numFmtId="168" fontId="0" fillId="0" borderId="0" xfId="0" applyNumberFormat="1" applyAlignment="1">
      <alignment horizontal="left"/>
    </xf>
    <xf numFmtId="0" fontId="56" fillId="52" borderId="37" xfId="0" applyFont="1" applyFill="1" applyBorder="1" applyAlignment="1">
      <alignment horizontal="center" vertical="center"/>
    </xf>
    <xf numFmtId="10" fontId="56" fillId="0" borderId="25" xfId="0" applyNumberFormat="1" applyFont="1" applyBorder="1" applyAlignment="1">
      <alignment horizontal="center" vertical="center"/>
    </xf>
    <xf numFmtId="0" fontId="44" fillId="0" borderId="0" xfId="0" applyFont="1" applyAlignment="1">
      <alignment vertical="center"/>
    </xf>
    <xf numFmtId="0" fontId="49" fillId="0" borderId="0" xfId="0" applyFont="1" applyAlignment="1">
      <alignment vertical="center"/>
    </xf>
    <xf numFmtId="0" fontId="44" fillId="0" borderId="43" xfId="0" applyFont="1" applyBorder="1"/>
    <xf numFmtId="0" fontId="58" fillId="0" borderId="0" xfId="0" applyFont="1" applyAlignment="1">
      <alignment vertical="center"/>
    </xf>
    <xf numFmtId="0" fontId="59" fillId="0" borderId="0" xfId="2" applyFont="1" applyBorder="1" applyProtection="1"/>
    <xf numFmtId="0" fontId="60" fillId="0" borderId="0" xfId="2" applyFont="1" applyFill="1" applyBorder="1" applyProtection="1"/>
    <xf numFmtId="0" fontId="60" fillId="53" borderId="0" xfId="2" applyFont="1" applyFill="1" applyBorder="1" applyProtection="1"/>
    <xf numFmtId="0" fontId="59" fillId="53" borderId="0" xfId="2" applyFont="1" applyFill="1" applyBorder="1" applyProtection="1"/>
    <xf numFmtId="0" fontId="59" fillId="53" borderId="0" xfId="0" applyFont="1" applyFill="1"/>
    <xf numFmtId="0" fontId="59" fillId="53" borderId="44" xfId="2" applyFont="1" applyFill="1" applyBorder="1" applyProtection="1"/>
    <xf numFmtId="0" fontId="59" fillId="0" borderId="44" xfId="2" applyFont="1" applyBorder="1" applyProtection="1"/>
    <xf numFmtId="0" fontId="62" fillId="0" borderId="43" xfId="102" applyFont="1" applyBorder="1"/>
    <xf numFmtId="0" fontId="59" fillId="0" borderId="0" xfId="0" applyFont="1"/>
    <xf numFmtId="0" fontId="37" fillId="41" borderId="39" xfId="55" applyFont="1" applyFill="1" applyBorder="1" applyAlignment="1">
      <alignment horizontal="center"/>
    </xf>
    <xf numFmtId="0" fontId="28" fillId="35" borderId="28" xfId="0" applyFont="1" applyFill="1" applyBorder="1" applyAlignment="1">
      <alignment horizontal="center"/>
    </xf>
    <xf numFmtId="171" fontId="27" fillId="40" borderId="28" xfId="0" applyNumberFormat="1" applyFont="1" applyFill="1" applyBorder="1" applyAlignment="1">
      <alignment horizontal="center"/>
    </xf>
    <xf numFmtId="164" fontId="27" fillId="40" borderId="28" xfId="0" applyNumberFormat="1" applyFont="1" applyFill="1" applyBorder="1" applyAlignment="1">
      <alignment horizontal="center"/>
    </xf>
    <xf numFmtId="0" fontId="0" fillId="43" borderId="28" xfId="0" applyFill="1" applyBorder="1"/>
    <xf numFmtId="165" fontId="5" fillId="45" borderId="28" xfId="0" applyNumberFormat="1" applyFont="1" applyFill="1" applyBorder="1" applyAlignment="1">
      <alignment horizontal="center"/>
    </xf>
    <xf numFmtId="165" fontId="0" fillId="45" borderId="28" xfId="0" applyNumberFormat="1" applyFill="1" applyBorder="1" applyAlignment="1">
      <alignment horizontal="center"/>
    </xf>
    <xf numFmtId="167" fontId="0" fillId="45" borderId="28" xfId="0" applyNumberFormat="1" applyFill="1" applyBorder="1"/>
    <xf numFmtId="166" fontId="0" fillId="0" borderId="28" xfId="0" applyNumberFormat="1" applyBorder="1" applyAlignment="1">
      <alignment horizontal="center"/>
    </xf>
    <xf numFmtId="0" fontId="64" fillId="50" borderId="48" xfId="0" applyFont="1" applyFill="1" applyBorder="1" applyAlignment="1">
      <alignment horizontal="left"/>
    </xf>
    <xf numFmtId="0" fontId="64" fillId="50" borderId="49" xfId="0" applyFont="1" applyFill="1" applyBorder="1" applyAlignment="1">
      <alignment horizontal="center"/>
    </xf>
    <xf numFmtId="0" fontId="45" fillId="54" borderId="46" xfId="0" applyFont="1" applyFill="1" applyBorder="1" applyAlignment="1">
      <alignment horizontal="left" vertical="top" wrapText="1"/>
    </xf>
    <xf numFmtId="2" fontId="63" fillId="54" borderId="45" xfId="0" applyNumberFormat="1" applyFont="1" applyFill="1" applyBorder="1" applyAlignment="1">
      <alignment horizontal="center" vertical="top"/>
    </xf>
    <xf numFmtId="0" fontId="45" fillId="49" borderId="46" xfId="0" applyFont="1" applyFill="1" applyBorder="1" applyAlignment="1">
      <alignment horizontal="left" vertical="top" wrapText="1"/>
    </xf>
    <xf numFmtId="6" fontId="63" fillId="49" borderId="45" xfId="0" applyNumberFormat="1" applyFont="1" applyFill="1" applyBorder="1" applyAlignment="1">
      <alignment horizontal="center" vertical="top"/>
    </xf>
    <xf numFmtId="6" fontId="45" fillId="54" borderId="45" xfId="0" applyNumberFormat="1" applyFont="1" applyFill="1" applyBorder="1" applyAlignment="1">
      <alignment horizontal="center" vertical="top"/>
    </xf>
    <xf numFmtId="9" fontId="63" fillId="49" borderId="45" xfId="0" applyNumberFormat="1" applyFont="1" applyFill="1" applyBorder="1" applyAlignment="1">
      <alignment horizontal="center" vertical="top"/>
    </xf>
    <xf numFmtId="6" fontId="63" fillId="54" borderId="45" xfId="0" applyNumberFormat="1" applyFont="1" applyFill="1" applyBorder="1" applyAlignment="1">
      <alignment horizontal="center" vertical="top"/>
    </xf>
    <xf numFmtId="173" fontId="63" fillId="49" borderId="45" xfId="0" applyNumberFormat="1" applyFont="1" applyFill="1" applyBorder="1" applyAlignment="1">
      <alignment horizontal="center" vertical="top"/>
    </xf>
    <xf numFmtId="0" fontId="45" fillId="54" borderId="50" xfId="0" applyFont="1" applyFill="1" applyBorder="1" applyAlignment="1">
      <alignment horizontal="left" vertical="top" wrapText="1"/>
    </xf>
    <xf numFmtId="3" fontId="63" fillId="54" borderId="47" xfId="0" applyNumberFormat="1" applyFont="1" applyFill="1" applyBorder="1" applyAlignment="1">
      <alignment horizontal="center" vertical="top"/>
    </xf>
    <xf numFmtId="3" fontId="63" fillId="54" borderId="45" xfId="0" applyNumberFormat="1" applyFont="1" applyFill="1" applyBorder="1" applyAlignment="1">
      <alignment horizontal="center" vertical="top"/>
    </xf>
    <xf numFmtId="0" fontId="63" fillId="54" borderId="46" xfId="0" applyFont="1" applyFill="1" applyBorder="1" applyAlignment="1">
      <alignment horizontal="left" vertical="top" wrapText="1"/>
    </xf>
    <xf numFmtId="0" fontId="63" fillId="49" borderId="46" xfId="0" applyFont="1" applyFill="1" applyBorder="1" applyAlignment="1">
      <alignment horizontal="left" vertical="top" wrapText="1"/>
    </xf>
    <xf numFmtId="38" fontId="63" fillId="49" borderId="45" xfId="0" applyNumberFormat="1" applyFont="1" applyFill="1" applyBorder="1" applyAlignment="1">
      <alignment horizontal="center" vertical="top"/>
    </xf>
    <xf numFmtId="165" fontId="63" fillId="49" borderId="45" xfId="0" applyNumberFormat="1" applyFont="1" applyFill="1" applyBorder="1" applyAlignment="1">
      <alignment horizontal="center" vertical="top"/>
    </xf>
    <xf numFmtId="165" fontId="0" fillId="0" borderId="10" xfId="0" applyNumberFormat="1" applyBorder="1" applyAlignment="1">
      <alignment horizontal="center"/>
    </xf>
    <xf numFmtId="0" fontId="37" fillId="41" borderId="49" xfId="55" applyFont="1" applyFill="1" applyBorder="1" applyAlignment="1">
      <alignment horizontal="center"/>
    </xf>
    <xf numFmtId="165" fontId="0" fillId="0" borderId="28" xfId="0" applyNumberFormat="1" applyBorder="1" applyAlignment="1">
      <alignment horizontal="center"/>
    </xf>
    <xf numFmtId="168" fontId="52" fillId="55" borderId="44" xfId="3" applyNumberFormat="1" applyFont="1" applyFill="1" applyBorder="1" applyAlignment="1" applyProtection="1">
      <alignment horizontal="center"/>
      <protection locked="0"/>
    </xf>
    <xf numFmtId="169" fontId="52" fillId="55" borderId="44" xfId="3" applyNumberFormat="1" applyFont="1" applyFill="1" applyBorder="1" applyAlignment="1" applyProtection="1">
      <alignment horizontal="center"/>
      <protection locked="0"/>
    </xf>
    <xf numFmtId="3" fontId="52" fillId="56" borderId="44" xfId="4" applyNumberFormat="1" applyFont="1" applyFill="1" applyBorder="1" applyAlignment="1" applyProtection="1">
      <alignment horizontal="center"/>
      <protection locked="0"/>
    </xf>
    <xf numFmtId="3" fontId="52" fillId="56" borderId="44" xfId="4" applyNumberFormat="1" applyFont="1" applyFill="1" applyBorder="1" applyAlignment="1" applyProtection="1">
      <alignment horizontal="center"/>
    </xf>
    <xf numFmtId="170" fontId="52" fillId="56" borderId="44" xfId="0" applyNumberFormat="1" applyFont="1" applyFill="1" applyBorder="1" applyAlignment="1" applyProtection="1">
      <alignment horizontal="center"/>
      <protection locked="0"/>
    </xf>
    <xf numFmtId="37" fontId="52" fillId="56" borderId="44" xfId="1" applyNumberFormat="1" applyFont="1" applyFill="1" applyBorder="1" applyAlignment="1" applyProtection="1">
      <alignment horizontal="center"/>
      <protection locked="0"/>
    </xf>
    <xf numFmtId="14" fontId="45" fillId="56" borderId="44" xfId="0" applyNumberFormat="1" applyFont="1" applyFill="1" applyBorder="1" applyAlignment="1" applyProtection="1">
      <alignment horizontal="center"/>
      <protection locked="0"/>
    </xf>
    <xf numFmtId="49" fontId="52" fillId="56" borderId="44" xfId="98" applyNumberFormat="1" applyFont="1" applyFill="1" applyBorder="1" applyAlignment="1" applyProtection="1">
      <alignment horizontal="center"/>
      <protection locked="0"/>
    </xf>
    <xf numFmtId="0" fontId="52" fillId="56" borderId="44" xfId="0" applyFont="1" applyFill="1" applyBorder="1" applyAlignment="1">
      <alignment horizontal="center"/>
    </xf>
    <xf numFmtId="44" fontId="52" fillId="56" borderId="44" xfId="1" applyFont="1" applyFill="1" applyBorder="1" applyAlignment="1" applyProtection="1">
      <alignment horizontal="center"/>
      <protection locked="0"/>
    </xf>
    <xf numFmtId="9" fontId="52" fillId="56" borderId="44" xfId="1" applyNumberFormat="1" applyFont="1" applyFill="1" applyBorder="1" applyAlignment="1" applyProtection="1">
      <alignment horizontal="center"/>
      <protection locked="0"/>
    </xf>
    <xf numFmtId="170" fontId="52" fillId="55" borderId="44" xfId="0" applyNumberFormat="1" applyFont="1" applyFill="1" applyBorder="1" applyAlignment="1" applyProtection="1">
      <alignment horizontal="center"/>
      <protection locked="0"/>
    </xf>
    <xf numFmtId="170" fontId="52" fillId="55" borderId="44" xfId="4" applyNumberFormat="1" applyFont="1" applyFill="1" applyBorder="1" applyAlignment="1" applyProtection="1">
      <alignment horizontal="center"/>
    </xf>
    <xf numFmtId="0" fontId="6" fillId="0" borderId="0" xfId="0" applyFont="1" applyAlignment="1">
      <alignment vertical="center" wrapText="1"/>
    </xf>
    <xf numFmtId="0" fontId="0" fillId="55" borderId="4" xfId="0" applyFill="1" applyBorder="1"/>
    <xf numFmtId="9" fontId="0" fillId="55" borderId="11" xfId="0" applyNumberFormat="1" applyFill="1" applyBorder="1" applyAlignment="1">
      <alignment horizontal="center"/>
    </xf>
    <xf numFmtId="0" fontId="0" fillId="55" borderId="11" xfId="0" applyFill="1" applyBorder="1"/>
    <xf numFmtId="0" fontId="0" fillId="55" borderId="5" xfId="0" applyFill="1" applyBorder="1"/>
    <xf numFmtId="0" fontId="0" fillId="55" borderId="6" xfId="0" applyFill="1" applyBorder="1"/>
    <xf numFmtId="170" fontId="0" fillId="55" borderId="0" xfId="0" applyNumberFormat="1" applyFill="1" applyAlignment="1">
      <alignment horizontal="center"/>
    </xf>
    <xf numFmtId="0" fontId="0" fillId="55" borderId="0" xfId="0" applyFill="1" applyAlignment="1">
      <alignment horizontal="center"/>
    </xf>
    <xf numFmtId="0" fontId="0" fillId="55" borderId="7" xfId="0" applyFill="1" applyBorder="1" applyAlignment="1">
      <alignment horizontal="center"/>
    </xf>
    <xf numFmtId="9" fontId="0" fillId="55" borderId="0" xfId="95" applyFont="1" applyFill="1" applyBorder="1" applyAlignment="1">
      <alignment horizontal="center"/>
    </xf>
    <xf numFmtId="168" fontId="0" fillId="55" borderId="0" xfId="95" applyNumberFormat="1" applyFont="1" applyFill="1" applyBorder="1" applyAlignment="1">
      <alignment horizontal="center"/>
    </xf>
    <xf numFmtId="10" fontId="0" fillId="55" borderId="0" xfId="0" applyNumberFormat="1" applyFill="1" applyAlignment="1">
      <alignment horizontal="center"/>
    </xf>
    <xf numFmtId="10" fontId="0" fillId="55" borderId="7" xfId="95" applyNumberFormat="1" applyFont="1" applyFill="1" applyBorder="1" applyAlignment="1">
      <alignment horizontal="center"/>
    </xf>
    <xf numFmtId="0" fontId="0" fillId="55" borderId="0" xfId="0" applyFill="1"/>
    <xf numFmtId="170" fontId="0" fillId="55" borderId="7" xfId="0" applyNumberFormat="1" applyFill="1" applyBorder="1" applyAlignment="1">
      <alignment horizontal="center"/>
    </xf>
    <xf numFmtId="168" fontId="0" fillId="55" borderId="0" xfId="0" applyNumberFormat="1" applyFill="1" applyAlignment="1">
      <alignment horizontal="center"/>
    </xf>
    <xf numFmtId="168" fontId="0" fillId="55" borderId="0" xfId="0" applyNumberFormat="1" applyFill="1"/>
    <xf numFmtId="0" fontId="0" fillId="55" borderId="7" xfId="0" applyFill="1" applyBorder="1"/>
    <xf numFmtId="0" fontId="39" fillId="55" borderId="0" xfId="0" applyFont="1" applyFill="1" applyAlignment="1">
      <alignment horizontal="center"/>
    </xf>
    <xf numFmtId="0" fontId="39" fillId="55" borderId="7" xfId="0" applyFont="1" applyFill="1" applyBorder="1" applyAlignment="1">
      <alignment horizontal="center"/>
    </xf>
    <xf numFmtId="0" fontId="0" fillId="55" borderId="13" xfId="0" applyFill="1" applyBorder="1"/>
    <xf numFmtId="0" fontId="0" fillId="55" borderId="14" xfId="0" applyFill="1" applyBorder="1"/>
    <xf numFmtId="170" fontId="0" fillId="55" borderId="14" xfId="0" applyNumberFormat="1" applyFill="1" applyBorder="1" applyAlignment="1">
      <alignment horizontal="center"/>
    </xf>
    <xf numFmtId="170" fontId="0" fillId="55" borderId="15" xfId="0" applyNumberFormat="1" applyFill="1" applyBorder="1" applyAlignment="1">
      <alignment horizontal="center"/>
    </xf>
    <xf numFmtId="0" fontId="33" fillId="55" borderId="0" xfId="0" applyFont="1" applyFill="1" applyAlignment="1">
      <alignment horizontal="center"/>
    </xf>
    <xf numFmtId="0" fontId="33" fillId="55" borderId="7" xfId="0" applyFont="1" applyFill="1" applyBorder="1" applyAlignment="1">
      <alignment horizontal="center"/>
    </xf>
    <xf numFmtId="0" fontId="46" fillId="55" borderId="0" xfId="0" applyFont="1" applyFill="1"/>
    <xf numFmtId="174" fontId="46" fillId="55" borderId="0" xfId="0" applyNumberFormat="1" applyFont="1" applyFill="1"/>
    <xf numFmtId="0" fontId="46" fillId="0" borderId="0" xfId="0" applyFont="1" applyProtection="1">
      <protection locked="0"/>
    </xf>
    <xf numFmtId="0" fontId="45" fillId="45" borderId="0" xfId="0" applyFont="1" applyFill="1" applyAlignment="1">
      <alignment horizontal="left" vertical="top" wrapText="1"/>
    </xf>
    <xf numFmtId="3" fontId="63" fillId="45" borderId="0" xfId="0" applyNumberFormat="1" applyFont="1" applyFill="1" applyAlignment="1">
      <alignment horizontal="center" vertical="top"/>
    </xf>
    <xf numFmtId="0" fontId="0" fillId="45" borderId="0" xfId="0" applyFill="1"/>
    <xf numFmtId="0" fontId="67" fillId="0" borderId="0" xfId="2" applyFont="1" applyBorder="1" applyProtection="1"/>
    <xf numFmtId="0" fontId="68" fillId="0" borderId="0" xfId="104" applyFont="1"/>
    <xf numFmtId="0" fontId="69" fillId="0" borderId="0" xfId="0" applyFont="1"/>
    <xf numFmtId="0" fontId="70" fillId="0" borderId="0" xfId="104" applyFont="1"/>
    <xf numFmtId="0" fontId="66" fillId="0" borderId="0" xfId="0" applyFont="1" applyProtection="1">
      <protection locked="0"/>
    </xf>
    <xf numFmtId="0" fontId="71" fillId="0" borderId="0" xfId="104" applyFont="1"/>
    <xf numFmtId="3" fontId="52" fillId="56" borderId="44" xfId="98" applyNumberFormat="1" applyFont="1" applyFill="1" applyBorder="1" applyAlignment="1" applyProtection="1">
      <alignment horizontal="center"/>
      <protection locked="0"/>
    </xf>
    <xf numFmtId="10" fontId="52" fillId="55" borderId="44" xfId="3" applyNumberFormat="1" applyFont="1" applyFill="1" applyBorder="1" applyAlignment="1" applyProtection="1">
      <alignment horizontal="center"/>
      <protection locked="0"/>
    </xf>
    <xf numFmtId="3" fontId="52" fillId="55" borderId="44" xfId="4" applyNumberFormat="1" applyFont="1" applyFill="1" applyBorder="1" applyAlignment="1" applyProtection="1">
      <alignment horizontal="center"/>
      <protection locked="0"/>
    </xf>
    <xf numFmtId="0" fontId="63" fillId="49" borderId="50" xfId="0" applyFont="1" applyFill="1" applyBorder="1" applyAlignment="1">
      <alignment horizontal="left" vertical="top" wrapText="1"/>
    </xf>
    <xf numFmtId="0" fontId="58" fillId="0" borderId="0" xfId="0" applyFont="1"/>
    <xf numFmtId="170" fontId="0" fillId="0" borderId="10" xfId="0" applyNumberFormat="1" applyBorder="1" applyAlignment="1" applyProtection="1">
      <alignment horizontal="center"/>
      <protection locked="0"/>
    </xf>
    <xf numFmtId="170" fontId="0" fillId="0" borderId="28" xfId="0" applyNumberFormat="1" applyBorder="1" applyAlignment="1" applyProtection="1">
      <alignment horizontal="center"/>
      <protection locked="0"/>
    </xf>
    <xf numFmtId="0" fontId="0" fillId="0" borderId="0" xfId="0" applyProtection="1">
      <protection locked="0"/>
    </xf>
    <xf numFmtId="9" fontId="52" fillId="55" borderId="44" xfId="95" applyFont="1" applyFill="1" applyBorder="1" applyAlignment="1" applyProtection="1">
      <alignment horizontal="center"/>
      <protection locked="0"/>
    </xf>
    <xf numFmtId="177" fontId="67" fillId="0" borderId="0" xfId="1" applyNumberFormat="1" applyFont="1" applyFill="1"/>
    <xf numFmtId="0" fontId="35" fillId="0" borderId="0" xfId="0" applyFont="1"/>
    <xf numFmtId="44" fontId="67" fillId="0" borderId="0" xfId="1" applyFont="1" applyFill="1"/>
    <xf numFmtId="178" fontId="72" fillId="58" borderId="10" xfId="1" applyNumberFormat="1" applyFont="1" applyFill="1" applyBorder="1" applyAlignment="1">
      <alignment horizontal="center"/>
    </xf>
    <xf numFmtId="164" fontId="72" fillId="59" borderId="34" xfId="1" applyNumberFormat="1" applyFont="1" applyFill="1" applyBorder="1" applyAlignment="1">
      <alignment horizontal="center"/>
    </xf>
    <xf numFmtId="0" fontId="57" fillId="60" borderId="48" xfId="0" applyFont="1" applyFill="1" applyBorder="1"/>
    <xf numFmtId="0" fontId="57" fillId="60" borderId="39" xfId="0" applyFont="1" applyFill="1" applyBorder="1" applyAlignment="1">
      <alignment horizontal="center"/>
    </xf>
    <xf numFmtId="0" fontId="75" fillId="0" borderId="6" xfId="0" applyFont="1" applyBorder="1"/>
    <xf numFmtId="0" fontId="75" fillId="0" borderId="0" xfId="0" applyFont="1" applyAlignment="1">
      <alignment horizontal="center"/>
    </xf>
    <xf numFmtId="0" fontId="46" fillId="0" borderId="7" xfId="0" applyFont="1" applyBorder="1"/>
    <xf numFmtId="0" fontId="72" fillId="58" borderId="32" xfId="0" applyFont="1" applyFill="1" applyBorder="1"/>
    <xf numFmtId="0" fontId="72" fillId="59" borderId="33" xfId="0" applyFont="1" applyFill="1" applyBorder="1"/>
    <xf numFmtId="0" fontId="47" fillId="50" borderId="38" xfId="99" applyFont="1" applyFill="1" applyBorder="1" applyAlignment="1">
      <alignment wrapText="1"/>
    </xf>
    <xf numFmtId="0" fontId="47" fillId="50" borderId="39" xfId="99" applyFont="1" applyFill="1" applyBorder="1" applyAlignment="1">
      <alignment horizontal="center" wrapText="1"/>
    </xf>
    <xf numFmtId="165" fontId="47" fillId="50" borderId="39" xfId="99" applyNumberFormat="1" applyFont="1" applyFill="1" applyBorder="1" applyAlignment="1">
      <alignment horizontal="center" wrapText="1"/>
    </xf>
    <xf numFmtId="0" fontId="47" fillId="50" borderId="40" xfId="99" applyFont="1" applyFill="1" applyBorder="1" applyAlignment="1">
      <alignment horizontal="center" wrapText="1"/>
    </xf>
    <xf numFmtId="37" fontId="45" fillId="55" borderId="34" xfId="98" applyNumberFormat="1" applyFont="1" applyFill="1" applyBorder="1" applyAlignment="1" applyProtection="1">
      <alignment horizontal="left" vertical="center"/>
    </xf>
    <xf numFmtId="37" fontId="45" fillId="55" borderId="34" xfId="98" applyNumberFormat="1" applyFont="1" applyFill="1" applyBorder="1" applyAlignment="1" applyProtection="1">
      <alignment horizontal="center" vertical="center"/>
    </xf>
    <xf numFmtId="5" fontId="44" fillId="55" borderId="34" xfId="1" applyNumberFormat="1" applyFont="1" applyFill="1" applyBorder="1" applyAlignment="1" applyProtection="1">
      <alignment horizontal="center"/>
    </xf>
    <xf numFmtId="10" fontId="45" fillId="55" borderId="34" xfId="1" applyNumberFormat="1" applyFont="1" applyFill="1" applyBorder="1" applyAlignment="1" applyProtection="1">
      <alignment horizontal="center"/>
    </xf>
    <xf numFmtId="175" fontId="45" fillId="55" borderId="41" xfId="100" applyNumberFormat="1" applyFont="1" applyFill="1" applyBorder="1" applyAlignment="1" applyProtection="1">
      <alignment horizontal="center"/>
    </xf>
    <xf numFmtId="168" fontId="0" fillId="58" borderId="0" xfId="0" applyNumberFormat="1" applyFill="1" applyAlignment="1">
      <alignment horizontal="left"/>
    </xf>
    <xf numFmtId="0" fontId="5" fillId="0" borderId="42" xfId="0" applyFont="1" applyBorder="1" applyAlignment="1">
      <alignment horizontal="center"/>
    </xf>
    <xf numFmtId="0" fontId="55" fillId="0" borderId="42" xfId="0" applyFont="1" applyBorder="1" applyAlignment="1">
      <alignment horizontal="center"/>
    </xf>
    <xf numFmtId="170" fontId="0" fillId="0" borderId="0" xfId="0" applyNumberFormat="1" applyAlignment="1">
      <alignment horizontal="center"/>
    </xf>
    <xf numFmtId="10" fontId="0" fillId="0" borderId="0" xfId="95" applyNumberFormat="1" applyFont="1" applyAlignment="1">
      <alignment horizontal="center"/>
    </xf>
    <xf numFmtId="0" fontId="5" fillId="48" borderId="13" xfId="0" applyFont="1" applyFill="1" applyBorder="1"/>
    <xf numFmtId="176" fontId="0" fillId="48" borderId="15" xfId="0" applyNumberFormat="1" applyFill="1" applyBorder="1" applyAlignment="1">
      <alignment horizontal="center"/>
    </xf>
    <xf numFmtId="170" fontId="0" fillId="0" borderId="0" xfId="0" applyNumberFormat="1"/>
    <xf numFmtId="43" fontId="0" fillId="0" borderId="0" xfId="98" applyFont="1"/>
    <xf numFmtId="179" fontId="0" fillId="0" borderId="0" xfId="0" applyNumberFormat="1"/>
    <xf numFmtId="0" fontId="59" fillId="0" borderId="0" xfId="2" applyFont="1" applyFill="1" applyBorder="1" applyProtection="1"/>
    <xf numFmtId="0" fontId="36" fillId="42" borderId="6" xfId="0" applyFont="1" applyFill="1" applyBorder="1"/>
    <xf numFmtId="0" fontId="36" fillId="42" borderId="0" xfId="0" applyFont="1" applyFill="1"/>
    <xf numFmtId="0" fontId="5" fillId="45" borderId="6" xfId="0" applyFont="1" applyFill="1" applyBorder="1"/>
    <xf numFmtId="0" fontId="5" fillId="45" borderId="0" xfId="0" applyFont="1" applyFill="1"/>
    <xf numFmtId="0" fontId="63" fillId="54" borderId="50" xfId="0" applyFont="1" applyFill="1" applyBorder="1" applyAlignment="1">
      <alignment horizontal="left" vertical="top" wrapText="1"/>
    </xf>
    <xf numFmtId="165" fontId="63" fillId="54" borderId="47" xfId="0" applyNumberFormat="1" applyFont="1" applyFill="1" applyBorder="1" applyAlignment="1">
      <alignment horizontal="center" vertical="top"/>
    </xf>
    <xf numFmtId="164" fontId="0" fillId="0" borderId="0" xfId="0" applyNumberFormat="1"/>
    <xf numFmtId="170" fontId="52" fillId="0" borderId="0" xfId="4" applyNumberFormat="1" applyFont="1" applyFill="1" applyBorder="1" applyAlignment="1" applyProtection="1">
      <alignment horizontal="center"/>
    </xf>
    <xf numFmtId="1" fontId="52" fillId="55" borderId="44" xfId="3" applyNumberFormat="1" applyFont="1" applyFill="1" applyBorder="1" applyAlignment="1" applyProtection="1">
      <alignment horizontal="center"/>
      <protection locked="0"/>
    </xf>
    <xf numFmtId="0" fontId="52" fillId="55" borderId="44" xfId="3" applyNumberFormat="1" applyFont="1" applyFill="1" applyBorder="1" applyAlignment="1" applyProtection="1">
      <alignment horizontal="center"/>
      <protection locked="0"/>
    </xf>
    <xf numFmtId="164" fontId="52" fillId="56" borderId="44" xfId="3" applyNumberFormat="1" applyFont="1" applyFill="1" applyBorder="1" applyAlignment="1" applyProtection="1">
      <alignment horizontal="center"/>
      <protection locked="0"/>
    </xf>
    <xf numFmtId="3" fontId="52" fillId="56" borderId="0" xfId="98" applyNumberFormat="1" applyFont="1" applyFill="1" applyBorder="1" applyAlignment="1" applyProtection="1">
      <alignment horizontal="center"/>
      <protection locked="0"/>
    </xf>
    <xf numFmtId="39" fontId="52" fillId="55" borderId="44" xfId="98" applyNumberFormat="1" applyFont="1" applyFill="1" applyBorder="1" applyAlignment="1" applyProtection="1">
      <alignment horizontal="center"/>
      <protection locked="0"/>
    </xf>
    <xf numFmtId="0" fontId="64" fillId="50" borderId="53" xfId="0" applyFont="1" applyFill="1" applyBorder="1" applyAlignment="1">
      <alignment horizontal="center"/>
    </xf>
    <xf numFmtId="3" fontId="63" fillId="54" borderId="7" xfId="0" applyNumberFormat="1" applyFont="1" applyFill="1" applyBorder="1" applyAlignment="1">
      <alignment horizontal="center" vertical="top"/>
    </xf>
    <xf numFmtId="6" fontId="63" fillId="49" borderId="7" xfId="0" applyNumberFormat="1" applyFont="1" applyFill="1" applyBorder="1" applyAlignment="1">
      <alignment horizontal="center" vertical="top"/>
    </xf>
    <xf numFmtId="6" fontId="45" fillId="54" borderId="7" xfId="0" applyNumberFormat="1" applyFont="1" applyFill="1" applyBorder="1" applyAlignment="1">
      <alignment horizontal="center" vertical="top"/>
    </xf>
    <xf numFmtId="38" fontId="63" fillId="49" borderId="7" xfId="0" applyNumberFormat="1" applyFont="1" applyFill="1" applyBorder="1" applyAlignment="1">
      <alignment horizontal="center" vertical="top"/>
    </xf>
    <xf numFmtId="165" fontId="63" fillId="49" borderId="7" xfId="0" applyNumberFormat="1" applyFont="1" applyFill="1" applyBorder="1" applyAlignment="1">
      <alignment horizontal="center" vertical="top"/>
    </xf>
    <xf numFmtId="165" fontId="63" fillId="49" borderId="9" xfId="0" applyNumberFormat="1" applyFont="1" applyFill="1" applyBorder="1" applyAlignment="1">
      <alignment horizontal="center" vertical="top"/>
    </xf>
    <xf numFmtId="0" fontId="63" fillId="0" borderId="46" xfId="0" applyFont="1" applyBorder="1" applyAlignment="1">
      <alignment horizontal="left" vertical="top" wrapText="1"/>
    </xf>
    <xf numFmtId="165" fontId="63" fillId="0" borderId="7" xfId="0" applyNumberFormat="1" applyFont="1" applyBorder="1" applyAlignment="1">
      <alignment horizontal="center" vertical="top"/>
    </xf>
    <xf numFmtId="165" fontId="63" fillId="0" borderId="7" xfId="0" applyNumberFormat="1" applyFont="1" applyBorder="1" applyAlignment="1">
      <alignment horizontal="center" vertical="center"/>
    </xf>
    <xf numFmtId="0" fontId="63" fillId="54" borderId="46" xfId="0" applyFont="1" applyFill="1" applyBorder="1" applyAlignment="1">
      <alignment horizontal="left" vertical="center" wrapText="1"/>
    </xf>
    <xf numFmtId="165" fontId="63" fillId="54" borderId="45" xfId="0" applyNumberFormat="1" applyFont="1" applyFill="1" applyBorder="1" applyAlignment="1">
      <alignment horizontal="center" vertical="center"/>
    </xf>
    <xf numFmtId="10" fontId="52" fillId="56" borderId="44" xfId="95" applyNumberFormat="1" applyFont="1" applyFill="1" applyBorder="1" applyAlignment="1" applyProtection="1">
      <alignment horizontal="center"/>
      <protection locked="0"/>
    </xf>
    <xf numFmtId="0" fontId="56" fillId="0" borderId="25" xfId="0" applyFont="1" applyBorder="1" applyAlignment="1">
      <alignment horizontal="center" vertical="center"/>
    </xf>
    <xf numFmtId="180" fontId="52" fillId="56" borderId="44" xfId="3" applyNumberFormat="1" applyFont="1" applyFill="1" applyBorder="1" applyAlignment="1" applyProtection="1">
      <alignment horizontal="center"/>
      <protection locked="0"/>
    </xf>
    <xf numFmtId="0" fontId="6" fillId="53" borderId="4" xfId="0" applyFont="1" applyFill="1" applyBorder="1" applyAlignment="1">
      <alignment horizontal="left" vertical="center" wrapText="1"/>
    </xf>
    <xf numFmtId="0" fontId="6" fillId="53" borderId="11" xfId="0" applyFont="1" applyFill="1" applyBorder="1" applyAlignment="1">
      <alignment horizontal="left" vertical="center" wrapText="1"/>
    </xf>
    <xf numFmtId="0" fontId="6" fillId="53" borderId="5" xfId="0" applyFont="1" applyFill="1" applyBorder="1" applyAlignment="1">
      <alignment horizontal="left" vertical="center" wrapText="1"/>
    </xf>
    <xf numFmtId="0" fontId="6" fillId="53" borderId="6" xfId="0" applyFont="1" applyFill="1" applyBorder="1" applyAlignment="1">
      <alignment horizontal="left" vertical="center" wrapText="1"/>
    </xf>
    <xf numFmtId="0" fontId="6" fillId="53" borderId="0" xfId="0" applyFont="1" applyFill="1" applyAlignment="1">
      <alignment horizontal="left" vertical="center" wrapText="1"/>
    </xf>
    <xf numFmtId="0" fontId="6" fillId="53" borderId="7" xfId="0" applyFont="1" applyFill="1" applyBorder="1" applyAlignment="1">
      <alignment horizontal="left" vertical="center" wrapText="1"/>
    </xf>
    <xf numFmtId="0" fontId="6" fillId="53" borderId="8" xfId="0" applyFont="1" applyFill="1" applyBorder="1" applyAlignment="1">
      <alignment horizontal="left" vertical="center" wrapText="1"/>
    </xf>
    <xf numFmtId="0" fontId="6" fillId="53" borderId="12" xfId="0" applyFont="1" applyFill="1" applyBorder="1" applyAlignment="1">
      <alignment horizontal="left" vertical="center" wrapText="1"/>
    </xf>
    <xf numFmtId="0" fontId="6" fillId="53" borderId="9" xfId="0" applyFont="1" applyFill="1" applyBorder="1" applyAlignment="1">
      <alignment horizontal="left" vertical="center" wrapText="1"/>
    </xf>
    <xf numFmtId="0" fontId="6" fillId="55" borderId="4" xfId="0" applyFont="1" applyFill="1" applyBorder="1" applyAlignment="1">
      <alignment horizontal="center" vertical="center" wrapText="1"/>
    </xf>
    <xf numFmtId="0" fontId="6" fillId="55" borderId="11" xfId="0" applyFont="1" applyFill="1" applyBorder="1" applyAlignment="1">
      <alignment horizontal="center" vertical="center" wrapText="1"/>
    </xf>
    <xf numFmtId="0" fontId="6" fillId="55" borderId="5" xfId="0" applyFont="1" applyFill="1" applyBorder="1" applyAlignment="1">
      <alignment horizontal="center" vertical="center" wrapText="1"/>
    </xf>
    <xf numFmtId="0" fontId="0" fillId="0" borderId="4" xfId="0" applyBorder="1" applyAlignment="1">
      <alignment horizontal="center"/>
    </xf>
    <xf numFmtId="0" fontId="0" fillId="0" borderId="11" xfId="0" applyBorder="1" applyAlignment="1">
      <alignment horizontal="center"/>
    </xf>
    <xf numFmtId="0" fontId="0" fillId="0" borderId="5" xfId="0" applyBorder="1" applyAlignment="1">
      <alignment horizontal="center"/>
    </xf>
    <xf numFmtId="0" fontId="0" fillId="0" borderId="8" xfId="0" applyBorder="1" applyAlignment="1">
      <alignment horizontal="center"/>
    </xf>
    <xf numFmtId="0" fontId="0" fillId="0" borderId="12" xfId="0" applyBorder="1" applyAlignment="1">
      <alignment horizontal="center"/>
    </xf>
    <xf numFmtId="0" fontId="0" fillId="0" borderId="9" xfId="0" applyBorder="1" applyAlignment="1">
      <alignment horizontal="center"/>
    </xf>
    <xf numFmtId="0" fontId="6" fillId="55" borderId="13" xfId="0" applyFont="1" applyFill="1" applyBorder="1" applyAlignment="1">
      <alignment horizontal="left" vertical="center" wrapText="1"/>
    </xf>
    <xf numFmtId="0" fontId="6" fillId="55" borderId="14" xfId="0" applyFont="1" applyFill="1" applyBorder="1" applyAlignment="1">
      <alignment horizontal="left" vertical="center" wrapText="1"/>
    </xf>
    <xf numFmtId="0" fontId="6" fillId="55" borderId="15" xfId="0" applyFont="1" applyFill="1" applyBorder="1" applyAlignment="1">
      <alignment horizontal="left" vertical="center" wrapText="1"/>
    </xf>
    <xf numFmtId="0" fontId="6" fillId="57" borderId="13" xfId="0" applyFont="1" applyFill="1" applyBorder="1" applyAlignment="1">
      <alignment horizontal="left" vertical="center" wrapText="1"/>
    </xf>
    <xf numFmtId="0" fontId="6" fillId="57" borderId="14" xfId="0" applyFont="1" applyFill="1" applyBorder="1" applyAlignment="1">
      <alignment horizontal="left" vertical="center" wrapText="1"/>
    </xf>
    <xf numFmtId="0" fontId="6" fillId="57" borderId="15" xfId="0" applyFont="1" applyFill="1" applyBorder="1" applyAlignment="1">
      <alignment horizontal="left" vertical="center" wrapText="1"/>
    </xf>
    <xf numFmtId="0" fontId="73" fillId="56" borderId="13" xfId="0" applyFont="1" applyFill="1" applyBorder="1" applyAlignment="1">
      <alignment horizontal="left" vertical="center" wrapText="1"/>
    </xf>
    <xf numFmtId="0" fontId="73" fillId="56" borderId="14" xfId="0" applyFont="1" applyFill="1" applyBorder="1" applyAlignment="1">
      <alignment horizontal="left" vertical="center" wrapText="1"/>
    </xf>
    <xf numFmtId="0" fontId="73" fillId="56" borderId="15" xfId="0" applyFont="1" applyFill="1" applyBorder="1" applyAlignment="1">
      <alignment horizontal="left" vertical="center" wrapText="1"/>
    </xf>
    <xf numFmtId="0" fontId="73" fillId="61" borderId="13" xfId="0" applyFont="1" applyFill="1" applyBorder="1" applyAlignment="1">
      <alignment horizontal="left"/>
    </xf>
    <xf numFmtId="0" fontId="73" fillId="61" borderId="14" xfId="0" applyFont="1" applyFill="1" applyBorder="1" applyAlignment="1">
      <alignment horizontal="left"/>
    </xf>
    <xf numFmtId="0" fontId="73" fillId="61" borderId="15" xfId="0" applyFont="1" applyFill="1" applyBorder="1" applyAlignment="1">
      <alignment horizontal="left"/>
    </xf>
    <xf numFmtId="0" fontId="6" fillId="57" borderId="13" xfId="0" applyFont="1" applyFill="1" applyBorder="1" applyAlignment="1">
      <alignment horizontal="center" vertical="center" wrapText="1"/>
    </xf>
    <xf numFmtId="0" fontId="6" fillId="57" borderId="14" xfId="0" applyFont="1" applyFill="1" applyBorder="1" applyAlignment="1">
      <alignment horizontal="center" vertical="center" wrapText="1"/>
    </xf>
    <xf numFmtId="0" fontId="5" fillId="0" borderId="12" xfId="0" applyFont="1" applyBorder="1" applyAlignment="1">
      <alignment horizontal="center"/>
    </xf>
    <xf numFmtId="0" fontId="5" fillId="0" borderId="0" xfId="0" applyFont="1" applyAlignment="1">
      <alignment horizontal="left"/>
    </xf>
    <xf numFmtId="0" fontId="0" fillId="0" borderId="0" xfId="0"/>
    <xf numFmtId="0" fontId="5" fillId="47" borderId="32" xfId="0" applyFont="1" applyFill="1" applyBorder="1"/>
    <xf numFmtId="0" fontId="5" fillId="47" borderId="10" xfId="0" applyFont="1" applyFill="1" applyBorder="1"/>
    <xf numFmtId="6" fontId="5" fillId="48" borderId="10" xfId="0" applyNumberFormat="1" applyFont="1" applyFill="1" applyBorder="1" applyAlignment="1">
      <alignment horizontal="center"/>
    </xf>
    <xf numFmtId="6" fontId="5" fillId="48" borderId="28" xfId="0" applyNumberFormat="1" applyFont="1" applyFill="1" applyBorder="1" applyAlignment="1">
      <alignment horizontal="center"/>
    </xf>
    <xf numFmtId="0" fontId="65" fillId="36" borderId="31" xfId="89" applyFont="1" applyBorder="1" applyProtection="1"/>
    <xf numFmtId="0" fontId="65" fillId="36" borderId="24" xfId="89" applyFont="1" applyBorder="1" applyProtection="1"/>
    <xf numFmtId="6" fontId="5" fillId="48" borderId="22" xfId="0" applyNumberFormat="1" applyFont="1" applyFill="1" applyBorder="1" applyAlignment="1">
      <alignment horizontal="center"/>
    </xf>
    <xf numFmtId="6" fontId="5" fillId="48" borderId="29" xfId="0" applyNumberFormat="1" applyFont="1" applyFill="1" applyBorder="1" applyAlignment="1">
      <alignment horizontal="center"/>
    </xf>
    <xf numFmtId="0" fontId="5" fillId="0" borderId="33" xfId="0" applyFont="1" applyBorder="1"/>
    <xf numFmtId="0" fontId="5" fillId="0" borderId="34" xfId="0" applyFont="1" applyBorder="1"/>
    <xf numFmtId="166" fontId="0" fillId="0" borderId="35" xfId="0" applyNumberFormat="1" applyBorder="1" applyAlignment="1">
      <alignment horizontal="center"/>
    </xf>
    <xf numFmtId="166" fontId="0" fillId="0" borderId="36" xfId="0" applyNumberFormat="1" applyBorder="1" applyAlignment="1">
      <alignment horizontal="center"/>
    </xf>
    <xf numFmtId="0" fontId="35" fillId="42" borderId="6" xfId="0" applyFont="1" applyFill="1" applyBorder="1"/>
    <xf numFmtId="0" fontId="35" fillId="42" borderId="0" xfId="0" applyFont="1" applyFill="1"/>
    <xf numFmtId="0" fontId="36" fillId="42" borderId="6" xfId="0" applyFont="1" applyFill="1" applyBorder="1"/>
    <xf numFmtId="0" fontId="36" fillId="42" borderId="0" xfId="0" applyFont="1" applyFill="1"/>
    <xf numFmtId="0" fontId="4" fillId="46" borderId="27" xfId="90" applyFont="1" applyFill="1" applyBorder="1" applyAlignment="1" applyProtection="1">
      <alignment horizontal="left"/>
    </xf>
    <xf numFmtId="0" fontId="4" fillId="46" borderId="21" xfId="90" applyFont="1" applyFill="1" applyBorder="1" applyAlignment="1" applyProtection="1">
      <alignment horizontal="left"/>
    </xf>
    <xf numFmtId="0" fontId="5" fillId="45" borderId="6" xfId="0" applyFont="1" applyFill="1" applyBorder="1"/>
    <xf numFmtId="0" fontId="5" fillId="45" borderId="0" xfId="0" applyFont="1" applyFill="1"/>
    <xf numFmtId="0" fontId="28" fillId="37" borderId="13" xfId="0" applyFont="1" applyFill="1" applyBorder="1" applyAlignment="1">
      <alignment horizontal="center" vertical="center"/>
    </xf>
    <xf numFmtId="0" fontId="28" fillId="37" borderId="14" xfId="0" applyFont="1" applyFill="1" applyBorder="1" applyAlignment="1">
      <alignment horizontal="center" vertical="center"/>
    </xf>
    <xf numFmtId="0" fontId="28" fillId="37" borderId="15" xfId="0" applyFont="1" applyFill="1" applyBorder="1" applyAlignment="1">
      <alignment horizontal="center" vertical="center"/>
    </xf>
    <xf numFmtId="0" fontId="5" fillId="45" borderId="30" xfId="0" applyFont="1" applyFill="1" applyBorder="1"/>
    <xf numFmtId="0" fontId="5" fillId="45" borderId="23" xfId="0" applyFont="1" applyFill="1" applyBorder="1"/>
    <xf numFmtId="0" fontId="35" fillId="44" borderId="31" xfId="0" applyFont="1" applyFill="1" applyBorder="1"/>
    <xf numFmtId="0" fontId="35" fillId="44" borderId="24" xfId="0" applyFont="1" applyFill="1" applyBorder="1"/>
    <xf numFmtId="0" fontId="25" fillId="36" borderId="31" xfId="89" applyBorder="1" applyProtection="1"/>
    <xf numFmtId="0" fontId="25" fillId="36" borderId="24" xfId="89" applyBorder="1" applyProtection="1"/>
    <xf numFmtId="0" fontId="0" fillId="47" borderId="32" xfId="0" applyFill="1" applyBorder="1"/>
    <xf numFmtId="0" fontId="0" fillId="47" borderId="10" xfId="0" applyFill="1" applyBorder="1"/>
    <xf numFmtId="0" fontId="5" fillId="47" borderId="32" xfId="0" applyFont="1" applyFill="1" applyBorder="1" applyAlignment="1">
      <alignment horizontal="left"/>
    </xf>
    <xf numFmtId="0" fontId="5" fillId="47" borderId="10" xfId="0" applyFont="1" applyFill="1" applyBorder="1" applyAlignment="1">
      <alignment horizontal="left"/>
    </xf>
    <xf numFmtId="0" fontId="34" fillId="45" borderId="32" xfId="0" applyFont="1" applyFill="1" applyBorder="1"/>
    <xf numFmtId="0" fontId="34" fillId="45" borderId="10" xfId="0" applyFont="1" applyFill="1" applyBorder="1"/>
    <xf numFmtId="0" fontId="0" fillId="45" borderId="6" xfId="0" applyFill="1" applyBorder="1"/>
    <xf numFmtId="0" fontId="0" fillId="45" borderId="0" xfId="0" applyFill="1"/>
    <xf numFmtId="0" fontId="25" fillId="36" borderId="31" xfId="89" applyBorder="1" applyProtection="1">
      <protection locked="0"/>
    </xf>
    <xf numFmtId="0" fontId="25" fillId="36" borderId="24" xfId="89" applyBorder="1" applyProtection="1">
      <protection locked="0"/>
    </xf>
    <xf numFmtId="0" fontId="0" fillId="0" borderId="12" xfId="0" applyBorder="1" applyAlignment="1">
      <alignment horizontal="center" wrapText="1"/>
    </xf>
    <xf numFmtId="0" fontId="57" fillId="60" borderId="51" xfId="0" applyFont="1" applyFill="1" applyBorder="1" applyAlignment="1">
      <alignment horizontal="left"/>
    </xf>
    <xf numFmtId="0" fontId="57" fillId="60" borderId="52" xfId="0" applyFont="1" applyFill="1" applyBorder="1" applyAlignment="1">
      <alignment horizontal="left"/>
    </xf>
    <xf numFmtId="0" fontId="57" fillId="60" borderId="53" xfId="0" applyFont="1" applyFill="1" applyBorder="1" applyAlignment="1">
      <alignment horizontal="left"/>
    </xf>
    <xf numFmtId="0" fontId="72" fillId="58" borderId="22" xfId="0" applyFont="1" applyFill="1" applyBorder="1" applyAlignment="1">
      <alignment horizontal="left"/>
    </xf>
    <xf numFmtId="0" fontId="72" fillId="58" borderId="24" xfId="0" applyFont="1" applyFill="1" applyBorder="1" applyAlignment="1">
      <alignment horizontal="left"/>
    </xf>
    <xf numFmtId="0" fontId="72" fillId="58" borderId="29" xfId="0" applyFont="1" applyFill="1" applyBorder="1" applyAlignment="1">
      <alignment horizontal="left"/>
    </xf>
    <xf numFmtId="0" fontId="72" fillId="59" borderId="35" xfId="0" applyFont="1" applyFill="1" applyBorder="1" applyAlignment="1">
      <alignment horizontal="left"/>
    </xf>
    <xf numFmtId="0" fontId="72" fillId="59" borderId="42" xfId="0" applyFont="1" applyFill="1" applyBorder="1" applyAlignment="1">
      <alignment horizontal="left"/>
    </xf>
    <xf numFmtId="0" fontId="72" fillId="59" borderId="36" xfId="0" applyFont="1" applyFill="1" applyBorder="1" applyAlignment="1">
      <alignment horizontal="left"/>
    </xf>
    <xf numFmtId="0" fontId="74" fillId="0" borderId="4" xfId="0" applyFont="1" applyBorder="1" applyAlignment="1">
      <alignment horizontal="center"/>
    </xf>
    <xf numFmtId="0" fontId="74" fillId="0" borderId="5" xfId="0" applyFont="1" applyBorder="1" applyAlignment="1">
      <alignment horizontal="center"/>
    </xf>
  </cellXfs>
  <cellStyles count="105">
    <cellStyle name="20% - Accent1 2" xfId="25" xr:uid="{00000000-0005-0000-0000-000000000000}"/>
    <cellStyle name="20% - Accent2 2" xfId="26" xr:uid="{00000000-0005-0000-0000-000001000000}"/>
    <cellStyle name="20% - Accent3 2" xfId="27" xr:uid="{00000000-0005-0000-0000-000002000000}"/>
    <cellStyle name="20% - Accent3 3" xfId="92" xr:uid="{00000000-0005-0000-0000-000003000000}"/>
    <cellStyle name="20% - Accent4 2" xfId="28" xr:uid="{00000000-0005-0000-0000-000004000000}"/>
    <cellStyle name="20% - Accent5 2" xfId="29" xr:uid="{00000000-0005-0000-0000-000005000000}"/>
    <cellStyle name="20% - Accent6 2" xfId="30" xr:uid="{00000000-0005-0000-0000-000006000000}"/>
    <cellStyle name="40% - Accent1 2" xfId="31" xr:uid="{00000000-0005-0000-0000-000007000000}"/>
    <cellStyle name="40% - Accent2 2" xfId="32" xr:uid="{00000000-0005-0000-0000-000008000000}"/>
    <cellStyle name="40% - Accent3 2" xfId="33" xr:uid="{00000000-0005-0000-0000-000009000000}"/>
    <cellStyle name="40% - Accent4 2" xfId="34" xr:uid="{00000000-0005-0000-0000-00000A000000}"/>
    <cellStyle name="40% - Accent5 2" xfId="35" xr:uid="{00000000-0005-0000-0000-00000B000000}"/>
    <cellStyle name="40% - Accent6 2" xfId="36" xr:uid="{00000000-0005-0000-0000-00000C000000}"/>
    <cellStyle name="60% - Accent1 2" xfId="37" xr:uid="{00000000-0005-0000-0000-00000D000000}"/>
    <cellStyle name="60% - Accent2 2" xfId="38" xr:uid="{00000000-0005-0000-0000-00000E000000}"/>
    <cellStyle name="60% - Accent3 2" xfId="39" xr:uid="{00000000-0005-0000-0000-00000F000000}"/>
    <cellStyle name="60% - Accent4 2" xfId="40" xr:uid="{00000000-0005-0000-0000-000010000000}"/>
    <cellStyle name="60% - Accent5 2" xfId="41" xr:uid="{00000000-0005-0000-0000-000011000000}"/>
    <cellStyle name="60% - Accent6 2" xfId="42" xr:uid="{00000000-0005-0000-0000-000012000000}"/>
    <cellStyle name="Accent1 2" xfId="43" xr:uid="{00000000-0005-0000-0000-000013000000}"/>
    <cellStyle name="Accent2 2" xfId="44" xr:uid="{00000000-0005-0000-0000-000014000000}"/>
    <cellStyle name="Accent3 2" xfId="45" xr:uid="{00000000-0005-0000-0000-000015000000}"/>
    <cellStyle name="Accent4 2" xfId="46" xr:uid="{00000000-0005-0000-0000-000016000000}"/>
    <cellStyle name="Accent5 2" xfId="47" xr:uid="{00000000-0005-0000-0000-000017000000}"/>
    <cellStyle name="Accent6 2" xfId="48" xr:uid="{00000000-0005-0000-0000-000018000000}"/>
    <cellStyle name="Bad" xfId="89" builtinId="27"/>
    <cellStyle name="Bad 2" xfId="49" xr:uid="{00000000-0005-0000-0000-00001A000000}"/>
    <cellStyle name="Calculation" xfId="3" builtinId="22"/>
    <cellStyle name="Calculation 2" xfId="50" xr:uid="{00000000-0005-0000-0000-00001C000000}"/>
    <cellStyle name="Calculation 3" xfId="94" xr:uid="{00000000-0005-0000-0000-00001D000000}"/>
    <cellStyle name="Check Cell" xfId="4" builtinId="23"/>
    <cellStyle name="Check Cell 2" xfId="51" xr:uid="{00000000-0005-0000-0000-00001F000000}"/>
    <cellStyle name="Comma" xfId="98" builtinId="3"/>
    <cellStyle name="Comma [0] 2" xfId="10" xr:uid="{00000000-0005-0000-0000-000021000000}"/>
    <cellStyle name="Comma 141" xfId="100" xr:uid="{E8B2A5E0-A0EF-4E27-AD0F-E3C039FD6773}"/>
    <cellStyle name="Comma 2" xfId="16" xr:uid="{00000000-0005-0000-0000-000022000000}"/>
    <cellStyle name="Comma 2 2" xfId="52" xr:uid="{00000000-0005-0000-0000-000023000000}"/>
    <cellStyle name="Comma 2 3" xfId="23" xr:uid="{00000000-0005-0000-0000-000024000000}"/>
    <cellStyle name="Comma 2 4" xfId="75" xr:uid="{00000000-0005-0000-0000-000025000000}"/>
    <cellStyle name="Comma 3" xfId="9" xr:uid="{00000000-0005-0000-0000-000026000000}"/>
    <cellStyle name="Currency" xfId="1" builtinId="4"/>
    <cellStyle name="Currency [0] 2" xfId="8" xr:uid="{00000000-0005-0000-0000-000028000000}"/>
    <cellStyle name="Currency 141" xfId="101" xr:uid="{CE81AE98-F62B-42C7-9AAF-11086B9C0419}"/>
    <cellStyle name="Currency 2" xfId="13" xr:uid="{00000000-0005-0000-0000-000029000000}"/>
    <cellStyle name="Currency 2 2" xfId="53" xr:uid="{00000000-0005-0000-0000-00002A000000}"/>
    <cellStyle name="Currency 2 3" xfId="73" xr:uid="{00000000-0005-0000-0000-00002B000000}"/>
    <cellStyle name="Currency 2 4" xfId="21" xr:uid="{00000000-0005-0000-0000-00002C000000}"/>
    <cellStyle name="Currency 2 5" xfId="77" xr:uid="{00000000-0005-0000-0000-00002D000000}"/>
    <cellStyle name="Currency 3" xfId="15" xr:uid="{00000000-0005-0000-0000-00002E000000}"/>
    <cellStyle name="Currency 3 2" xfId="54" xr:uid="{00000000-0005-0000-0000-00002F000000}"/>
    <cellStyle name="Currency 3 3" xfId="22" xr:uid="{00000000-0005-0000-0000-000030000000}"/>
    <cellStyle name="Currency 3 4" xfId="76" xr:uid="{00000000-0005-0000-0000-000031000000}"/>
    <cellStyle name="Currency 4" xfId="7" xr:uid="{00000000-0005-0000-0000-000032000000}"/>
    <cellStyle name="Explanatory Text 2" xfId="55" xr:uid="{00000000-0005-0000-0000-000033000000}"/>
    <cellStyle name="Explanatory Text 3" xfId="104" xr:uid="{9DB6FA80-7C9B-3A48-97C4-48128C6FE3BA}"/>
    <cellStyle name="Good 2" xfId="56" xr:uid="{00000000-0005-0000-0000-000034000000}"/>
    <cellStyle name="Guide Text" xfId="103" xr:uid="{39E4AAE5-BAEE-634A-8DDD-369D50FEA1B9}"/>
    <cellStyle name="Heading 1 2" xfId="57" xr:uid="{00000000-0005-0000-0000-000035000000}"/>
    <cellStyle name="Heading 2" xfId="2" builtinId="17"/>
    <cellStyle name="Heading 2 2" xfId="58" xr:uid="{00000000-0005-0000-0000-000037000000}"/>
    <cellStyle name="Heading 3 2" xfId="59" xr:uid="{00000000-0005-0000-0000-000038000000}"/>
    <cellStyle name="Heading 4 2" xfId="60" xr:uid="{00000000-0005-0000-0000-000039000000}"/>
    <cellStyle name="Input 2" xfId="61" xr:uid="{00000000-0005-0000-0000-00003A000000}"/>
    <cellStyle name="Input 3" xfId="93" xr:uid="{00000000-0005-0000-0000-00003B000000}"/>
    <cellStyle name="Linked Cell 2" xfId="62" xr:uid="{00000000-0005-0000-0000-00003C000000}"/>
    <cellStyle name="Neutral 2" xfId="63" xr:uid="{00000000-0005-0000-0000-00003D000000}"/>
    <cellStyle name="Normal" xfId="0" builtinId="0"/>
    <cellStyle name="Normal 16" xfId="96" xr:uid="{00000000-0005-0000-0000-00003F000000}"/>
    <cellStyle name="Normal 2" xfId="11" xr:uid="{00000000-0005-0000-0000-000040000000}"/>
    <cellStyle name="Normal 2 2" xfId="64" xr:uid="{00000000-0005-0000-0000-000041000000}"/>
    <cellStyle name="Normal 2 2 2" xfId="83" xr:uid="{00000000-0005-0000-0000-000042000000}"/>
    <cellStyle name="Normal 2 2 3" xfId="84" xr:uid="{00000000-0005-0000-0000-000043000000}"/>
    <cellStyle name="Normal 2 2 4" xfId="85" xr:uid="{00000000-0005-0000-0000-000044000000}"/>
    <cellStyle name="Normal 2 3" xfId="19" xr:uid="{00000000-0005-0000-0000-000045000000}"/>
    <cellStyle name="Normal 2 4" xfId="82" xr:uid="{00000000-0005-0000-0000-000046000000}"/>
    <cellStyle name="Normal 2 5" xfId="86" xr:uid="{00000000-0005-0000-0000-000047000000}"/>
    <cellStyle name="Normal 3" xfId="12" xr:uid="{00000000-0005-0000-0000-000048000000}"/>
    <cellStyle name="Normal 3 2" xfId="65" xr:uid="{00000000-0005-0000-0000-000049000000}"/>
    <cellStyle name="Normal 3 3" xfId="72" xr:uid="{00000000-0005-0000-0000-00004A000000}"/>
    <cellStyle name="Normal 3 4" xfId="20" xr:uid="{00000000-0005-0000-0000-00004B000000}"/>
    <cellStyle name="Normal 4" xfId="14" xr:uid="{00000000-0005-0000-0000-00004C000000}"/>
    <cellStyle name="Normal 4 2" xfId="74" xr:uid="{00000000-0005-0000-0000-00004D000000}"/>
    <cellStyle name="Normal 4 3" xfId="87" xr:uid="{00000000-0005-0000-0000-00004E000000}"/>
    <cellStyle name="Normal 4 4" xfId="88" xr:uid="{00000000-0005-0000-0000-00004F000000}"/>
    <cellStyle name="Normal 455" xfId="99" xr:uid="{4C0853FA-7166-4FE8-9CE8-7D8F681E267C}"/>
    <cellStyle name="Normal 5" xfId="18" xr:uid="{00000000-0005-0000-0000-000050000000}"/>
    <cellStyle name="Normal 6" xfId="5" xr:uid="{00000000-0005-0000-0000-000051000000}"/>
    <cellStyle name="Normal 7" xfId="91" xr:uid="{00000000-0005-0000-0000-000052000000}"/>
    <cellStyle name="Note 2" xfId="66" xr:uid="{00000000-0005-0000-0000-000053000000}"/>
    <cellStyle name="Output" xfId="90" builtinId="21"/>
    <cellStyle name="Output 2" xfId="67" xr:uid="{00000000-0005-0000-0000-000055000000}"/>
    <cellStyle name="Percent" xfId="95" builtinId="5"/>
    <cellStyle name="Percent 12 2" xfId="97" xr:uid="{00000000-0005-0000-0000-000057000000}"/>
    <cellStyle name="Percent 2" xfId="17" xr:uid="{00000000-0005-0000-0000-000058000000}"/>
    <cellStyle name="Percent 2 2" xfId="68" xr:uid="{00000000-0005-0000-0000-000059000000}"/>
    <cellStyle name="Percent 2 3" xfId="24" xr:uid="{00000000-0005-0000-0000-00005A000000}"/>
    <cellStyle name="Percent 2 4" xfId="79" xr:uid="{00000000-0005-0000-0000-00005B000000}"/>
    <cellStyle name="Percent 3" xfId="6" xr:uid="{00000000-0005-0000-0000-00005C000000}"/>
    <cellStyle name="Percent 3 2" xfId="81" xr:uid="{00000000-0005-0000-0000-00005D000000}"/>
    <cellStyle name="Percent 3 3" xfId="80" xr:uid="{00000000-0005-0000-0000-00005E000000}"/>
    <cellStyle name="Percent 4" xfId="78" xr:uid="{00000000-0005-0000-0000-00005F000000}"/>
    <cellStyle name="Subheading" xfId="102" xr:uid="{97E197CC-B060-A34D-A444-44220C31331B}"/>
    <cellStyle name="Title 2" xfId="69" xr:uid="{00000000-0005-0000-0000-000060000000}"/>
    <cellStyle name="Total 2" xfId="70" xr:uid="{00000000-0005-0000-0000-000061000000}"/>
    <cellStyle name="Warning Text 2" xfId="71" xr:uid="{00000000-0005-0000-0000-000062000000}"/>
  </cellStyles>
  <dxfs count="1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ont>
        <strike/>
      </font>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patternType="lightGray">
          <fgColor theme="0" tint="-0.14993743705557422"/>
          <bgColor theme="0" tint="-4.9989318521683403E-2"/>
        </patternFill>
      </fill>
    </dxf>
    <dxf>
      <font>
        <strike val="0"/>
        <color theme="0"/>
      </font>
      <fill>
        <patternFill patternType="darkDown">
          <fgColor rgb="FFFF0000"/>
          <bgColor rgb="FFC00000"/>
        </patternFill>
      </fill>
      <border>
        <left style="medium">
          <color auto="1"/>
        </left>
        <right style="medium">
          <color auto="1"/>
        </right>
        <top style="medium">
          <color auto="1"/>
        </top>
        <bottom style="medium">
          <color auto="1"/>
        </bottom>
      </border>
    </dxf>
  </dxfs>
  <tableStyles count="2" defaultTableStyle="TableStyleMedium2" defaultPivotStyle="PivotStyleLight16">
    <tableStyle name="Table Style 2" pivot="0" count="2" xr9:uid="{00000000-0011-0000-FFFF-FFFF00000000}">
      <tableStyleElement type="headerRow" dxfId="17"/>
      <tableStyleElement type="firstRowStripe" dxfId="16"/>
    </tableStyle>
    <tableStyle name="Table Style 1" pivot="0" count="1" xr9:uid="{00000000-0011-0000-FFFF-FFFF01000000}">
      <tableStyleElement type="firstRowStripe" dxfId="15"/>
    </tableStyle>
  </tableStyles>
  <colors>
    <mruColors>
      <color rgb="FFEBEBEB"/>
      <color rgb="FFFFFF66"/>
      <color rgb="FFFF3300"/>
      <color rgb="FF33ED37"/>
      <color rgb="FFFF6600"/>
      <color rgb="FFBEE4DA"/>
      <color rgb="FFCADEE0"/>
      <color rgb="FFD6D6D6"/>
      <color rgb="FF99FF99"/>
      <color rgb="FFE7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13" Type="http://schemas.openxmlformats.org/officeDocument/2006/relationships/worksheet" Target="worksheets/sheet11.xml"/><Relationship Id="rId3" Type="http://schemas.openxmlformats.org/officeDocument/2006/relationships/worksheet" Target="worksheets/sheet3.xml"/><Relationship Id="rId7" Type="http://schemas.openxmlformats.org/officeDocument/2006/relationships/chartsheet" Target="chartsheets/sheet2.xml"/><Relationship Id="rId12" Type="http://schemas.openxmlformats.org/officeDocument/2006/relationships/worksheet" Target="worksheets/sheet10.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9.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8.xml"/><Relationship Id="rId4" Type="http://schemas.openxmlformats.org/officeDocument/2006/relationships/worksheet" Target="worksheets/sheet4.xml"/><Relationship Id="rId9" Type="http://schemas.openxmlformats.org/officeDocument/2006/relationships/worksheet" Target="worksheets/sheet7.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1"/>
    <c:plotArea>
      <c:layout>
        <c:manualLayout>
          <c:layoutTarget val="inner"/>
          <c:xMode val="edge"/>
          <c:yMode val="edge"/>
          <c:x val="9.952040610308327E-2"/>
          <c:y val="7.28895423894904E-2"/>
          <c:w val="0.72079631555489521"/>
          <c:h val="0.71214692094124077"/>
        </c:manualLayout>
      </c:layout>
      <c:barChart>
        <c:barDir val="col"/>
        <c:grouping val="stacked"/>
        <c:varyColors val="0"/>
        <c:ser>
          <c:idx val="0"/>
          <c:order val="0"/>
          <c:tx>
            <c:strRef>
              <c:f>'BUY ALL C-PACE SIR MODEL'!$B$8:$D$8</c:f>
              <c:strCache>
                <c:ptCount val="3"/>
                <c:pt idx="0">
                  <c:v>Buy All Tariff Revenue</c:v>
                </c:pt>
              </c:strCache>
            </c:strRef>
          </c:tx>
          <c:spPr>
            <a:solidFill>
              <a:srgbClr val="000099"/>
            </a:solidFill>
            <a:ln w="15875">
              <a:solidFill>
                <a:schemeClr val="bg1"/>
              </a:solidFill>
            </a:ln>
            <a:effectLst/>
          </c:spPr>
          <c:invertIfNegative val="0"/>
          <c:cat>
            <c:numRef>
              <c:f>'BUY ALL C-PACE SIR MODEL'!$E$4:$X$4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'BUY ALL C-PACE SIR MODEL'!$E$8:$X$8</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extLst/>
            </c:numRef>
          </c:val>
          <c:extLst>
            <c:ext xmlns:c16="http://schemas.microsoft.com/office/drawing/2014/chart" uri="{C3380CC4-5D6E-409C-BE32-E72D297353CC}">
              <c16:uniqueId val="{00000000-B852-406D-93ED-18D4F43B33A2}"/>
            </c:ext>
          </c:extLst>
        </c:ser>
        <c:ser>
          <c:idx val="3"/>
          <c:order val="1"/>
          <c:tx>
            <c:strRef>
              <c:f>'BUY ALL C-PACE SIR MODEL'!$B$9:$D$9</c:f>
              <c:strCache>
                <c:ptCount val="3"/>
                <c:pt idx="0">
                  <c:v>MACRS</c:v>
                </c:pt>
              </c:strCache>
            </c:strRef>
          </c:tx>
          <c:spPr>
            <a:solidFill>
              <a:srgbClr val="00DBD6"/>
            </a:solidFill>
            <a:ln w="15875">
              <a:solidFill>
                <a:schemeClr val="bg1"/>
              </a:solidFill>
            </a:ln>
            <a:effectLst/>
          </c:spPr>
          <c:invertIfNegative val="0"/>
          <c:cat>
            <c:numRef>
              <c:f>'BUY ALL C-PACE SIR MODEL'!$E$4:$X$4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'BUY ALL C-PACE SIR MODEL'!$E$9</c:f>
              <c:numCache>
                <c:formatCode>"$"#,##0</c:formatCode>
                <c:ptCount val="1"/>
                <c:pt idx="0">
                  <c:v>0</c:v>
                </c:pt>
              </c:numCache>
              <c:extLst/>
            </c:numRef>
          </c:val>
          <c:extLst>
            <c:ext xmlns:c16="http://schemas.microsoft.com/office/drawing/2014/chart" uri="{C3380CC4-5D6E-409C-BE32-E72D297353CC}">
              <c16:uniqueId val="{00000002-B852-406D-93ED-18D4F43B33A2}"/>
            </c:ext>
          </c:extLst>
        </c:ser>
        <c:ser>
          <c:idx val="6"/>
          <c:order val="3"/>
          <c:tx>
            <c:strRef>
              <c:f>'BUY ALL C-PACE SIR MODEL'!$B$17:$D$17</c:f>
              <c:strCache>
                <c:ptCount val="3"/>
                <c:pt idx="0">
                  <c:v>Total Payments</c:v>
                </c:pt>
              </c:strCache>
            </c:strRef>
          </c:tx>
          <c:spPr>
            <a:solidFill>
              <a:srgbClr val="E25304"/>
            </a:solidFill>
            <a:ln w="15875">
              <a:solidFill>
                <a:schemeClr val="bg1"/>
              </a:solidFill>
            </a:ln>
            <a:effectLst/>
          </c:spPr>
          <c:invertIfNegative val="0"/>
          <c:cat>
            <c:numRef>
              <c:f>'BUY ALL C-PACE SIR MODEL'!$E$4:$X$4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'BUY ALL C-PACE SIR MODEL'!$E$17:$X$17</c:f>
              <c:numCache>
                <c:formatCode>"$"#,##0;[Red]"$"#,##0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3-B852-406D-93ED-18D4F43B33A2}"/>
            </c:ext>
          </c:extLst>
        </c:ser>
        <c:ser>
          <c:idx val="2"/>
          <c:order val="4"/>
          <c:tx>
            <c:strRef>
              <c:f>'BUY ALL C-PACE SIR MODEL'!$B$10</c:f>
              <c:strCache>
                <c:ptCount val="1"/>
                <c:pt idx="0">
                  <c:v>ITC</c:v>
                </c:pt>
              </c:strCache>
            </c:strRef>
          </c:tx>
          <c:spPr>
            <a:solidFill>
              <a:schemeClr val="accent3">
                <a:lumMod val="75000"/>
              </a:schemeClr>
            </a:solidFill>
            <a:ln w="15875">
              <a:solidFill>
                <a:schemeClr val="bg1"/>
              </a:solidFill>
            </a:ln>
            <a:effectLst/>
          </c:spPr>
          <c:invertIfNegative val="0"/>
          <c:cat>
            <c:numRef>
              <c:f>'BUY ALL C-PACE SIR MODEL'!$E$4:$X$4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'BUY ALL C-PACE SIR MODEL'!$E$10</c:f>
              <c:numCache>
                <c:formatCode>"$"#,##0</c:formatCode>
                <c:ptCount val="1"/>
                <c:pt idx="0">
                  <c:v>0</c:v>
                </c:pt>
              </c:numCache>
            </c:numRef>
          </c:val>
          <c:extLst>
            <c:ext xmlns:c16="http://schemas.microsoft.com/office/drawing/2014/chart" uri="{C3380CC4-5D6E-409C-BE32-E72D297353CC}">
              <c16:uniqueId val="{00000004-B852-406D-93ED-18D4F43B33A2}"/>
            </c:ext>
          </c:extLst>
        </c:ser>
        <c:dLbls>
          <c:showLegendKey val="0"/>
          <c:showVal val="0"/>
          <c:showCatName val="0"/>
          <c:showSerName val="0"/>
          <c:showPercent val="0"/>
          <c:showBubbleSize val="0"/>
        </c:dLbls>
        <c:gapWidth val="150"/>
        <c:overlap val="100"/>
        <c:axId val="2009488976"/>
        <c:axId val="20537664"/>
      </c:barChart>
      <c:lineChart>
        <c:grouping val="standard"/>
        <c:varyColors val="0"/>
        <c:ser>
          <c:idx val="4"/>
          <c:order val="2"/>
          <c:tx>
            <c:strRef>
              <c:f>'BUY ALL C-PACE SIR MODEL'!$B$19:$D$19</c:f>
              <c:strCache>
                <c:ptCount val="3"/>
                <c:pt idx="0">
                  <c:v>Net Cumulative Cash Flow</c:v>
                </c:pt>
              </c:strCache>
            </c:strRef>
          </c:tx>
          <c:spPr>
            <a:ln w="28575" cap="rnd">
              <a:solidFill>
                <a:schemeClr val="tx1"/>
              </a:solidFill>
              <a:round/>
            </a:ln>
            <a:effectLst/>
          </c:spPr>
          <c:marker>
            <c:symbol val="none"/>
          </c:marker>
          <c:cat>
            <c:multiLvlStrRef>
              <c:f>#REF!</c:f>
              <c:extLst xmlns:c15="http://schemas.microsoft.com/office/drawing/2012/chart"/>
            </c:multiLvlStrRef>
          </c:cat>
          <c:val>
            <c:numRef>
              <c:f>'BUY ALL C-PACE SIR MODEL'!$E$19:$X$19</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extLst/>
            </c:numRef>
          </c:val>
          <c:smooth val="0"/>
          <c:extLst>
            <c:ext xmlns:c16="http://schemas.microsoft.com/office/drawing/2014/chart" uri="{C3380CC4-5D6E-409C-BE32-E72D297353CC}">
              <c16:uniqueId val="{00000006-B852-406D-93ED-18D4F43B33A2}"/>
            </c:ext>
          </c:extLst>
        </c:ser>
        <c:dLbls>
          <c:showLegendKey val="0"/>
          <c:showVal val="0"/>
          <c:showCatName val="0"/>
          <c:showSerName val="0"/>
          <c:showPercent val="0"/>
          <c:showBubbleSize val="0"/>
        </c:dLbls>
        <c:marker val="1"/>
        <c:smooth val="0"/>
        <c:axId val="1556947935"/>
        <c:axId val="923005935"/>
      </c:lineChart>
      <c:catAx>
        <c:axId val="200948897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Year</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537664"/>
        <c:crosses val="autoZero"/>
        <c:auto val="1"/>
        <c:lblAlgn val="ctr"/>
        <c:lblOffset val="10"/>
        <c:noMultiLvlLbl val="0"/>
      </c:catAx>
      <c:valAx>
        <c:axId val="20537664"/>
        <c:scaling>
          <c:orientation val="minMax"/>
          <c:max val="200000"/>
          <c:min val="-200000"/>
        </c:scaling>
        <c:delete val="0"/>
        <c:axPos val="l"/>
        <c:majorGridlines>
          <c:spPr>
            <a:ln w="9525" cap="flat" cmpd="sng" algn="ctr">
              <a:solidFill>
                <a:schemeClr val="tx1">
                  <a:lumMod val="15000"/>
                  <a:lumOff val="85000"/>
                </a:schemeClr>
              </a:solidFill>
              <a:round/>
            </a:ln>
            <a:effectLst/>
          </c:spPr>
        </c:majorGridlines>
        <c:numFmt formatCode="&quot;$&quot;#,##0_);[Red]\(&quot;$&quot;#,##0\)" sourceLinked="0"/>
        <c:majorTickMark val="out"/>
        <c:minorTickMark val="none"/>
        <c:tickLblPos val="low"/>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09488976"/>
        <c:crosses val="autoZero"/>
        <c:crossBetween val="between"/>
        <c:majorUnit val="50000"/>
      </c:valAx>
      <c:valAx>
        <c:axId val="923005935"/>
        <c:scaling>
          <c:orientation val="minMax"/>
          <c:max val="200000"/>
          <c:min val="-200000"/>
        </c:scaling>
        <c:delete val="0"/>
        <c:axPos val="r"/>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Net Cummulative Cash Flow</a:t>
                </a:r>
              </a:p>
            </c:rich>
          </c:tx>
          <c:layout>
            <c:manualLayout>
              <c:xMode val="edge"/>
              <c:yMode val="edge"/>
              <c:x val="0.95762029816239458"/>
              <c:y val="0.20772425099551359"/>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_);[Red]\(&quot;$&quot;#,##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56947935"/>
        <c:crosses val="max"/>
        <c:crossBetween val="between"/>
        <c:majorUnit val="50000"/>
      </c:valAx>
      <c:catAx>
        <c:axId val="1556947935"/>
        <c:scaling>
          <c:orientation val="minMax"/>
        </c:scaling>
        <c:delete val="1"/>
        <c:axPos val="b"/>
        <c:numFmt formatCode="General" sourceLinked="1"/>
        <c:majorTickMark val="out"/>
        <c:minorTickMark val="none"/>
        <c:tickLblPos val="nextTo"/>
        <c:crossAx val="923005935"/>
        <c:crosses val="autoZero"/>
        <c:auto val="1"/>
        <c:lblAlgn val="ctr"/>
        <c:lblOffset val="100"/>
        <c:noMultiLvlLbl val="0"/>
      </c:catAx>
      <c:spPr>
        <a:noFill/>
        <a:ln>
          <a:noFill/>
        </a:ln>
        <a:effectLst/>
      </c:spPr>
    </c:plotArea>
    <c:legend>
      <c:legendPos val="r"/>
      <c:layout>
        <c:manualLayout>
          <c:xMode val="edge"/>
          <c:yMode val="edge"/>
          <c:x val="0"/>
          <c:y val="0.90083925872902249"/>
          <c:w val="1"/>
          <c:h val="9.731122246082876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52040610308327E-2"/>
          <c:y val="7.28895423894904E-2"/>
          <c:w val="0.73629792177617137"/>
          <c:h val="0.73117192693362798"/>
        </c:manualLayout>
      </c:layout>
      <c:barChart>
        <c:barDir val="col"/>
        <c:grouping val="stacked"/>
        <c:varyColors val="0"/>
        <c:ser>
          <c:idx val="1"/>
          <c:order val="0"/>
          <c:tx>
            <c:strRef>
              <c:f>'NT C-PACE SIR MODEL'!$B$9:$D$9</c:f>
              <c:strCache>
                <c:ptCount val="3"/>
                <c:pt idx="0">
                  <c:v>Netting Tariff Electric Revenue</c:v>
                </c:pt>
              </c:strCache>
            </c:strRef>
          </c:tx>
          <c:invertIfNegative val="0"/>
          <c:val>
            <c:numRef>
              <c:f>'NT C-PACE SIR MODEL'!$E$9:$X$9</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B-925B-47BE-83AE-CC49C24E67A5}"/>
            </c:ext>
          </c:extLst>
        </c:ser>
        <c:ser>
          <c:idx val="5"/>
          <c:order val="1"/>
          <c:tx>
            <c:strRef>
              <c:f>'NT C-PACE SIR MODEL'!$B$10:$D$10</c:f>
              <c:strCache>
                <c:ptCount val="3"/>
                <c:pt idx="0">
                  <c:v>Netting Tariff REC Revenue</c:v>
                </c:pt>
              </c:strCache>
            </c:strRef>
          </c:tx>
          <c:invertIfNegative val="0"/>
          <c:val>
            <c:numRef>
              <c:f>'NT C-PACE SIR MODEL'!$E$10:$X$10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C-925B-47BE-83AE-CC49C24E67A5}"/>
            </c:ext>
          </c:extLst>
        </c:ser>
        <c:ser>
          <c:idx val="7"/>
          <c:order val="2"/>
          <c:tx>
            <c:strRef>
              <c:f>'NT C-PACE SIR MODEL'!$B$11:$D$11</c:f>
              <c:strCache>
                <c:ptCount val="3"/>
                <c:pt idx="0">
                  <c:v>MACRS</c:v>
                </c:pt>
              </c:strCache>
            </c:strRef>
          </c:tx>
          <c:invertIfNegative val="0"/>
          <c:val>
            <c:numRef>
              <c:f>'NT C-PACE SIR MODEL'!$E$11</c:f>
              <c:numCache>
                <c:formatCode>"$"#,##0</c:formatCode>
                <c:ptCount val="1"/>
                <c:pt idx="0">
                  <c:v>0</c:v>
                </c:pt>
              </c:numCache>
            </c:numRef>
          </c:val>
          <c:extLst>
            <c:ext xmlns:c16="http://schemas.microsoft.com/office/drawing/2014/chart" uri="{C3380CC4-5D6E-409C-BE32-E72D297353CC}">
              <c16:uniqueId val="{0000000D-925B-47BE-83AE-CC49C24E67A5}"/>
            </c:ext>
          </c:extLst>
        </c:ser>
        <c:ser>
          <c:idx val="8"/>
          <c:order val="3"/>
          <c:tx>
            <c:strRef>
              <c:f>'NT C-PACE SIR MODEL'!$B$12</c:f>
              <c:strCache>
                <c:ptCount val="1"/>
                <c:pt idx="0">
                  <c:v>ITC</c:v>
                </c:pt>
              </c:strCache>
            </c:strRef>
          </c:tx>
          <c:invertIfNegative val="0"/>
          <c:val>
            <c:numRef>
              <c:f>'NT C-PACE SIR MODEL'!$E$12</c:f>
              <c:numCache>
                <c:formatCode>"$"#,##0</c:formatCode>
                <c:ptCount val="1"/>
                <c:pt idx="0">
                  <c:v>0</c:v>
                </c:pt>
              </c:numCache>
            </c:numRef>
          </c:val>
          <c:extLst>
            <c:ext xmlns:c16="http://schemas.microsoft.com/office/drawing/2014/chart" uri="{C3380CC4-5D6E-409C-BE32-E72D297353CC}">
              <c16:uniqueId val="{0000000E-925B-47BE-83AE-CC49C24E67A5}"/>
            </c:ext>
          </c:extLst>
        </c:ser>
        <c:ser>
          <c:idx val="6"/>
          <c:order val="5"/>
          <c:tx>
            <c:strRef>
              <c:f>'BUY ALL C-PACE SIR MODEL'!$B$17:$D$17</c:f>
              <c:strCache>
                <c:ptCount val="3"/>
                <c:pt idx="0">
                  <c:v>Total Payments</c:v>
                </c:pt>
              </c:strCache>
            </c:strRef>
          </c:tx>
          <c:spPr>
            <a:solidFill>
              <a:srgbClr val="E25304"/>
            </a:solidFill>
            <a:ln w="15875">
              <a:solidFill>
                <a:schemeClr val="bg1"/>
              </a:solidFill>
            </a:ln>
            <a:effectLst/>
          </c:spPr>
          <c:invertIfNegative val="0"/>
          <c:cat>
            <c:numRef>
              <c:f>'BUY ALL C-PACE SIR MODEL'!$E$4:$X$4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'NT C-PACE SIR MODEL'!$E$19:$X$19</c:f>
              <c:numCache>
                <c:formatCode>"$"#,##0;[Red]"$"#,##0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6-925B-47BE-83AE-CC49C24E67A5}"/>
            </c:ext>
          </c:extLst>
        </c:ser>
        <c:dLbls>
          <c:showLegendKey val="0"/>
          <c:showVal val="0"/>
          <c:showCatName val="0"/>
          <c:showSerName val="0"/>
          <c:showPercent val="0"/>
          <c:showBubbleSize val="0"/>
        </c:dLbls>
        <c:gapWidth val="150"/>
        <c:overlap val="100"/>
        <c:axId val="2009488976"/>
        <c:axId val="20537664"/>
      </c:barChart>
      <c:lineChart>
        <c:grouping val="standard"/>
        <c:varyColors val="0"/>
        <c:ser>
          <c:idx val="10"/>
          <c:order val="4"/>
          <c:tx>
            <c:strRef>
              <c:f>'NT C-PACE SIR MODEL'!$B$21:$D$21</c:f>
              <c:strCache>
                <c:ptCount val="3"/>
                <c:pt idx="0">
                  <c:v>Net Cumulative Cash Flow</c:v>
                </c:pt>
              </c:strCache>
            </c:strRef>
          </c:tx>
          <c:spPr>
            <a:ln>
              <a:solidFill>
                <a:sysClr val="windowText" lastClr="000000"/>
              </a:solidFill>
            </a:ln>
          </c:spPr>
          <c:marker>
            <c:symbol val="none"/>
          </c:marker>
          <c:val>
            <c:numRef>
              <c:f>'NT C-PACE SIR MODEL'!$E$21:$X$21</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10-925B-47BE-83AE-CC49C24E67A5}"/>
            </c:ext>
          </c:extLst>
        </c:ser>
        <c:dLbls>
          <c:showLegendKey val="0"/>
          <c:showVal val="0"/>
          <c:showCatName val="0"/>
          <c:showSerName val="0"/>
          <c:showPercent val="0"/>
          <c:showBubbleSize val="0"/>
        </c:dLbls>
        <c:marker val="1"/>
        <c:smooth val="0"/>
        <c:axId val="838820496"/>
        <c:axId val="838824760"/>
      </c:lineChart>
      <c:catAx>
        <c:axId val="200948897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Year</a:t>
                </a:r>
              </a:p>
            </c:rich>
          </c:tx>
          <c:overlay val="0"/>
          <c:spPr>
            <a:noFill/>
            <a:ln>
              <a:noFill/>
            </a:ln>
            <a:effectLst/>
          </c:spPr>
        </c:title>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537664"/>
        <c:crosses val="autoZero"/>
        <c:auto val="1"/>
        <c:lblAlgn val="ctr"/>
        <c:lblOffset val="10"/>
        <c:noMultiLvlLbl val="0"/>
      </c:catAx>
      <c:valAx>
        <c:axId val="20537664"/>
        <c:scaling>
          <c:orientation val="minMax"/>
          <c:max val="200000"/>
          <c:min val="-200000"/>
        </c:scaling>
        <c:delete val="0"/>
        <c:axPos val="l"/>
        <c:majorGridlines>
          <c:spPr>
            <a:ln w="9525" cap="flat" cmpd="sng" algn="ctr">
              <a:solidFill>
                <a:schemeClr val="tx1">
                  <a:lumMod val="15000"/>
                  <a:lumOff val="85000"/>
                </a:schemeClr>
              </a:solidFill>
              <a:round/>
            </a:ln>
            <a:effectLst/>
          </c:spPr>
        </c:majorGridlines>
        <c:numFmt formatCode="&quot;$&quot;#,##0_);[Red]\(&quot;$&quot;#,##0\)" sourceLinked="0"/>
        <c:majorTickMark val="out"/>
        <c:minorTickMark val="none"/>
        <c:tickLblPos val="low"/>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09488976"/>
        <c:crosses val="autoZero"/>
        <c:crossBetween val="between"/>
        <c:majorUnit val="50000"/>
      </c:valAx>
      <c:valAx>
        <c:axId val="838824760"/>
        <c:scaling>
          <c:orientation val="minMax"/>
          <c:max val="200000"/>
          <c:min val="-200000"/>
        </c:scaling>
        <c:delete val="0"/>
        <c:axPos val="r"/>
        <c:title>
          <c:tx>
            <c:rich>
              <a:bodyPr/>
              <a:lstStyle/>
              <a:p>
                <a:pPr>
                  <a:defRPr sz="1100" baseline="0"/>
                </a:pPr>
                <a:r>
                  <a:rPr lang="en-US" sz="1100" b="0" baseline="0"/>
                  <a:t>Net Cummulatiev Cash Flow</a:t>
                </a:r>
              </a:p>
            </c:rich>
          </c:tx>
          <c:layout>
            <c:manualLayout>
              <c:xMode val="edge"/>
              <c:yMode val="edge"/>
              <c:x val="0.94931321462297802"/>
              <c:y val="0.26320802943627292"/>
            </c:manualLayout>
          </c:layout>
          <c:overlay val="0"/>
        </c:title>
        <c:numFmt formatCode="&quot;$&quot;#,##0" sourceLinked="1"/>
        <c:majorTickMark val="out"/>
        <c:minorTickMark val="none"/>
        <c:tickLblPos val="nextTo"/>
        <c:txPr>
          <a:bodyPr/>
          <a:lstStyle/>
          <a:p>
            <a:pPr>
              <a:defRPr sz="900" baseline="0"/>
            </a:pPr>
            <a:endParaRPr lang="en-US"/>
          </a:p>
        </c:txPr>
        <c:crossAx val="838820496"/>
        <c:crosses val="max"/>
        <c:crossBetween val="between"/>
      </c:valAx>
      <c:catAx>
        <c:axId val="838820496"/>
        <c:scaling>
          <c:orientation val="minMax"/>
        </c:scaling>
        <c:delete val="1"/>
        <c:axPos val="b"/>
        <c:majorTickMark val="out"/>
        <c:minorTickMark val="none"/>
        <c:tickLblPos val="nextTo"/>
        <c:crossAx val="838824760"/>
        <c:crosses val="autoZero"/>
        <c:auto val="1"/>
        <c:lblAlgn val="ctr"/>
        <c:lblOffset val="100"/>
        <c:noMultiLvlLbl val="0"/>
      </c:catAx>
    </c:plotArea>
    <c:legend>
      <c:legendPos val="r"/>
      <c:layout>
        <c:manualLayout>
          <c:xMode val="edge"/>
          <c:yMode val="edge"/>
          <c:x val="0"/>
          <c:y val="0.90083925872902249"/>
          <c:w val="1"/>
          <c:h val="9.731122246082876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txPr>
    <a:bodyPr/>
    <a:lstStyle/>
    <a:p>
      <a:pPr>
        <a:defRPr sz="1100">
          <a:latin typeface="Arial" panose="020B0604020202020204" pitchFamily="34" charset="0"/>
          <a:cs typeface="Arial" panose="020B0604020202020204" pitchFamily="34" charset="0"/>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8732274-B2AA-4274-8FEE-274B9CF3AC0B}">
  <sheetPr codeName="Chart6">
    <tabColor rgb="FFFFFF66"/>
  </sheetPr>
  <sheetViews>
    <sheetView zoomScale="70" workbookViewId="0"/>
  </sheetViews>
  <sheetProtection algorithmName="SHA-512" hashValue="m/y36mkW2myVLfdk3zlHT/9T0faIgn4S7Mzso06MU6nACr/3DNuhRsZklFmZDjp11aiDQt7eKnzKdH1LFvapLQ==" saltValue="vp8yTVLMYiM+grwvFnmlNQ==" spinCount="100000" content="1" objects="1"/>
  <pageMargins left="0.7" right="0.7" top="0.75" bottom="0.75" header="0.3" footer="0.3"/>
  <pageSetup orientation="landscape" horizontalDpi="1200" verticalDpi="1200"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62F9BAF-01D6-43DE-B196-6BB7FB218072}">
  <sheetPr codeName="Chart8">
    <tabColor rgb="FFFFFF66"/>
  </sheetPr>
  <sheetViews>
    <sheetView workbookViewId="0"/>
  </sheetViews>
  <pageMargins left="0.7" right="0.7" top="0.75" bottom="0.75" header="0.3" footer="0.3"/>
  <pageSetup orientation="landscape" horizontalDpi="1200" verticalDpi="1200"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absoluteAnchor>
    <xdr:pos x="0" y="0"/>
    <xdr:ext cx="10817679" cy="7851321"/>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56320" cy="6278880"/>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editAs="oneCell">
    <xdr:from>
      <xdr:col>0</xdr:col>
      <xdr:colOff>114759</xdr:colOff>
      <xdr:row>1</xdr:row>
      <xdr:rowOff>11475</xdr:rowOff>
    </xdr:from>
    <xdr:to>
      <xdr:col>10</xdr:col>
      <xdr:colOff>5717</xdr:colOff>
      <xdr:row>51</xdr:row>
      <xdr:rowOff>45275</xdr:rowOff>
    </xdr:to>
    <xdr:pic>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1"/>
        <a:stretch>
          <a:fillRect/>
        </a:stretch>
      </xdr:blipFill>
      <xdr:spPr>
        <a:xfrm>
          <a:off x="114759" y="401656"/>
          <a:ext cx="6902735" cy="9627656"/>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ERS Colors 1">
      <a:dk1>
        <a:srgbClr val="000000"/>
      </a:dk1>
      <a:lt1>
        <a:srgbClr val="FFFFFF"/>
      </a:lt1>
      <a:dk2>
        <a:srgbClr val="44546A"/>
      </a:dk2>
      <a:lt2>
        <a:srgbClr val="E7E6E6"/>
      </a:lt2>
      <a:accent1>
        <a:srgbClr val="00AA9D"/>
      </a:accent1>
      <a:accent2>
        <a:srgbClr val="005089"/>
      </a:accent2>
      <a:accent3>
        <a:srgbClr val="0071C6"/>
      </a:accent3>
      <a:accent4>
        <a:srgbClr val="7943A3"/>
      </a:accent4>
      <a:accent5>
        <a:srgbClr val="448A92"/>
      </a:accent5>
      <a:accent6>
        <a:srgbClr val="BDE4DA"/>
      </a:accent6>
      <a:hlink>
        <a:srgbClr val="009192"/>
      </a:hlink>
      <a:folHlink>
        <a:srgbClr val="0071C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3F637-FBC3-40D2-A9BC-285CC1493A0C}">
  <sheetPr codeName="Sheet2">
    <tabColor rgb="FFFF3300"/>
  </sheetPr>
  <dimension ref="B1:Q18"/>
  <sheetViews>
    <sheetView zoomScale="62" workbookViewId="0">
      <selection activeCell="A2" sqref="A2"/>
    </sheetView>
  </sheetViews>
  <sheetFormatPr defaultColWidth="8.7109375" defaultRowHeight="15" x14ac:dyDescent="0.25"/>
  <cols>
    <col min="2" max="2" width="8.5703125" bestFit="1" customWidth="1"/>
    <col min="3" max="3" width="14.5703125" customWidth="1"/>
    <col min="5" max="5" width="7.7109375" bestFit="1" customWidth="1"/>
  </cols>
  <sheetData>
    <row r="1" spans="2:17" ht="15.75" thickBot="1" x14ac:dyDescent="0.3"/>
    <row r="2" spans="2:17" ht="24.75" customHeight="1" x14ac:dyDescent="0.25">
      <c r="B2" s="223" t="s">
        <v>128</v>
      </c>
      <c r="C2" s="224"/>
      <c r="D2" s="224"/>
      <c r="E2" s="224"/>
      <c r="F2" s="224"/>
      <c r="G2" s="224"/>
      <c r="H2" s="224"/>
      <c r="I2" s="224"/>
      <c r="J2" s="224"/>
      <c r="K2" s="224"/>
      <c r="L2" s="224"/>
      <c r="M2" s="224"/>
      <c r="N2" s="224"/>
      <c r="O2" s="224"/>
      <c r="P2" s="224"/>
      <c r="Q2" s="225"/>
    </row>
    <row r="3" spans="2:17" ht="24.75" customHeight="1" x14ac:dyDescent="0.25">
      <c r="B3" s="226"/>
      <c r="C3" s="227"/>
      <c r="D3" s="227"/>
      <c r="E3" s="227"/>
      <c r="F3" s="227"/>
      <c r="G3" s="227"/>
      <c r="H3" s="227"/>
      <c r="I3" s="227"/>
      <c r="J3" s="227"/>
      <c r="K3" s="227"/>
      <c r="L3" s="227"/>
      <c r="M3" s="227"/>
      <c r="N3" s="227"/>
      <c r="O3" s="227"/>
      <c r="P3" s="227"/>
      <c r="Q3" s="228"/>
    </row>
    <row r="4" spans="2:17" ht="24.75" customHeight="1" x14ac:dyDescent="0.25">
      <c r="B4" s="226"/>
      <c r="C4" s="227"/>
      <c r="D4" s="227"/>
      <c r="E4" s="227"/>
      <c r="F4" s="227"/>
      <c r="G4" s="227"/>
      <c r="H4" s="227"/>
      <c r="I4" s="227"/>
      <c r="J4" s="227"/>
      <c r="K4" s="227"/>
      <c r="L4" s="227"/>
      <c r="M4" s="227"/>
      <c r="N4" s="227"/>
      <c r="O4" s="227"/>
      <c r="P4" s="227"/>
      <c r="Q4" s="228"/>
    </row>
    <row r="5" spans="2:17" ht="24.75" customHeight="1" x14ac:dyDescent="0.25">
      <c r="B5" s="226"/>
      <c r="C5" s="227"/>
      <c r="D5" s="227"/>
      <c r="E5" s="227"/>
      <c r="F5" s="227"/>
      <c r="G5" s="227"/>
      <c r="H5" s="227"/>
      <c r="I5" s="227"/>
      <c r="J5" s="227"/>
      <c r="K5" s="227"/>
      <c r="L5" s="227"/>
      <c r="M5" s="227"/>
      <c r="N5" s="227"/>
      <c r="O5" s="227"/>
      <c r="P5" s="227"/>
      <c r="Q5" s="228"/>
    </row>
    <row r="6" spans="2:17" ht="24.75" customHeight="1" thickBot="1" x14ac:dyDescent="0.3">
      <c r="B6" s="229"/>
      <c r="C6" s="230"/>
      <c r="D6" s="230"/>
      <c r="E6" s="230"/>
      <c r="F6" s="230"/>
      <c r="G6" s="230"/>
      <c r="H6" s="230"/>
      <c r="I6" s="230"/>
      <c r="J6" s="230"/>
      <c r="K6" s="230"/>
      <c r="L6" s="230"/>
      <c r="M6" s="230"/>
      <c r="N6" s="230"/>
      <c r="O6" s="230"/>
      <c r="P6" s="230"/>
      <c r="Q6" s="231"/>
    </row>
    <row r="7" spans="2:17" ht="21.75" thickBot="1" x14ac:dyDescent="0.3">
      <c r="B7" s="6"/>
      <c r="C7" s="6"/>
      <c r="D7" s="6"/>
      <c r="E7" s="6"/>
      <c r="F7" s="6"/>
      <c r="G7" s="6"/>
      <c r="H7" s="6"/>
      <c r="I7" s="6"/>
      <c r="J7" s="6"/>
      <c r="K7" s="6"/>
      <c r="L7" s="6"/>
      <c r="M7" s="6"/>
      <c r="N7" s="6"/>
      <c r="O7" s="6"/>
      <c r="P7" s="6"/>
    </row>
    <row r="8" spans="2:17" ht="81.400000000000006" customHeight="1" x14ac:dyDescent="0.25">
      <c r="B8" s="223" t="s">
        <v>177</v>
      </c>
      <c r="C8" s="224"/>
      <c r="D8" s="224"/>
      <c r="E8" s="224"/>
      <c r="F8" s="224"/>
      <c r="G8" s="224"/>
      <c r="H8" s="224"/>
      <c r="I8" s="224"/>
      <c r="J8" s="224"/>
      <c r="K8" s="224"/>
      <c r="L8" s="224"/>
      <c r="M8" s="224"/>
      <c r="N8" s="224"/>
      <c r="O8" s="224"/>
      <c r="P8" s="224"/>
      <c r="Q8" s="225"/>
    </row>
    <row r="9" spans="2:17" ht="81.400000000000006" customHeight="1" x14ac:dyDescent="0.25">
      <c r="B9" s="226"/>
      <c r="C9" s="227"/>
      <c r="D9" s="227"/>
      <c r="E9" s="227"/>
      <c r="F9" s="227"/>
      <c r="G9" s="227"/>
      <c r="H9" s="227"/>
      <c r="I9" s="227"/>
      <c r="J9" s="227"/>
      <c r="K9" s="227"/>
      <c r="L9" s="227"/>
      <c r="M9" s="227"/>
      <c r="N9" s="227"/>
      <c r="O9" s="227"/>
      <c r="P9" s="227"/>
      <c r="Q9" s="228"/>
    </row>
    <row r="10" spans="2:17" ht="100.15" customHeight="1" thickBot="1" x14ac:dyDescent="0.3">
      <c r="B10" s="229"/>
      <c r="C10" s="230"/>
      <c r="D10" s="230"/>
      <c r="E10" s="230"/>
      <c r="F10" s="230"/>
      <c r="G10" s="230"/>
      <c r="H10" s="230"/>
      <c r="I10" s="230"/>
      <c r="J10" s="230"/>
      <c r="K10" s="230"/>
      <c r="L10" s="230"/>
      <c r="M10" s="230"/>
      <c r="N10" s="230"/>
      <c r="O10" s="230"/>
      <c r="P10" s="230"/>
      <c r="Q10" s="231"/>
    </row>
    <row r="12" spans="2:17" ht="15.75" thickBot="1" x14ac:dyDescent="0.3"/>
    <row r="13" spans="2:17" x14ac:dyDescent="0.25">
      <c r="B13" s="223" t="s">
        <v>129</v>
      </c>
      <c r="C13" s="224"/>
      <c r="D13" s="224"/>
      <c r="E13" s="224"/>
      <c r="F13" s="224"/>
      <c r="G13" s="224"/>
      <c r="H13" s="224"/>
      <c r="I13" s="224"/>
      <c r="J13" s="224"/>
      <c r="K13" s="224"/>
      <c r="L13" s="224"/>
      <c r="M13" s="224"/>
      <c r="N13" s="224"/>
      <c r="O13" s="224"/>
      <c r="P13" s="224"/>
      <c r="Q13" s="225"/>
    </row>
    <row r="14" spans="2:17" ht="15.75" thickBot="1" x14ac:dyDescent="0.3">
      <c r="B14" s="229"/>
      <c r="C14" s="230"/>
      <c r="D14" s="230"/>
      <c r="E14" s="230"/>
      <c r="F14" s="230"/>
      <c r="G14" s="230"/>
      <c r="H14" s="230"/>
      <c r="I14" s="230"/>
      <c r="J14" s="230"/>
      <c r="K14" s="230"/>
      <c r="L14" s="230"/>
      <c r="M14" s="230"/>
      <c r="N14" s="230"/>
      <c r="O14" s="230"/>
      <c r="P14" s="230"/>
      <c r="Q14" s="231"/>
    </row>
    <row r="15" spans="2:17" ht="21.75" customHeight="1" thickBot="1" x14ac:dyDescent="0.3">
      <c r="B15" s="232" t="s">
        <v>103</v>
      </c>
      <c r="C15" s="233"/>
      <c r="D15" s="234"/>
      <c r="E15" s="241" t="s">
        <v>104</v>
      </c>
      <c r="F15" s="242"/>
      <c r="G15" s="242"/>
      <c r="H15" s="242"/>
      <c r="I15" s="242"/>
      <c r="J15" s="242"/>
      <c r="K15" s="242"/>
      <c r="L15" s="242"/>
      <c r="M15" s="243"/>
      <c r="N15" s="116"/>
      <c r="O15" s="116"/>
      <c r="P15" s="116"/>
      <c r="Q15" s="116"/>
    </row>
    <row r="16" spans="2:17" ht="21.75" customHeight="1" thickBot="1" x14ac:dyDescent="0.3">
      <c r="B16" s="253" t="s">
        <v>106</v>
      </c>
      <c r="C16" s="254"/>
      <c r="D16" s="254"/>
      <c r="E16" s="244" t="s">
        <v>105</v>
      </c>
      <c r="F16" s="245"/>
      <c r="G16" s="245"/>
      <c r="H16" s="245"/>
      <c r="I16" s="245"/>
      <c r="J16" s="245"/>
      <c r="K16" s="245"/>
      <c r="L16" s="245"/>
      <c r="M16" s="246"/>
      <c r="N16" s="116"/>
      <c r="O16" s="116"/>
      <c r="P16" s="116"/>
      <c r="Q16" s="116"/>
    </row>
    <row r="17" spans="2:13" ht="16.5" customHeight="1" thickBot="1" x14ac:dyDescent="0.3">
      <c r="B17" s="235"/>
      <c r="C17" s="236"/>
      <c r="D17" s="237"/>
      <c r="E17" s="247" t="s">
        <v>120</v>
      </c>
      <c r="F17" s="248"/>
      <c r="G17" s="248"/>
      <c r="H17" s="248"/>
      <c r="I17" s="248"/>
      <c r="J17" s="248"/>
      <c r="K17" s="248"/>
      <c r="L17" s="248"/>
      <c r="M17" s="249"/>
    </row>
    <row r="18" spans="2:13" ht="16.5" thickBot="1" x14ac:dyDescent="0.3">
      <c r="B18" s="238"/>
      <c r="C18" s="239"/>
      <c r="D18" s="240"/>
      <c r="E18" s="250" t="s">
        <v>131</v>
      </c>
      <c r="F18" s="251"/>
      <c r="G18" s="251"/>
      <c r="H18" s="251"/>
      <c r="I18" s="251"/>
      <c r="J18" s="251"/>
      <c r="K18" s="251"/>
      <c r="L18" s="251"/>
      <c r="M18" s="252"/>
    </row>
  </sheetData>
  <mergeCells count="10">
    <mergeCell ref="B2:Q6"/>
    <mergeCell ref="B8:Q10"/>
    <mergeCell ref="B13:Q14"/>
    <mergeCell ref="B15:D15"/>
    <mergeCell ref="B17:D18"/>
    <mergeCell ref="E15:M15"/>
    <mergeCell ref="E16:M16"/>
    <mergeCell ref="E17:M17"/>
    <mergeCell ref="E18:M18"/>
    <mergeCell ref="B16:D16"/>
  </mergeCell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E8AFD-3765-4EF7-AB71-E2D79A864726}">
  <sheetPr codeName="Sheet13">
    <tabColor rgb="FFFF3300"/>
  </sheetPr>
  <dimension ref="A1:E23"/>
  <sheetViews>
    <sheetView workbookViewId="0">
      <selection activeCell="G14" sqref="G14"/>
    </sheetView>
  </sheetViews>
  <sheetFormatPr defaultColWidth="8.7109375" defaultRowHeight="15" x14ac:dyDescent="0.25"/>
  <cols>
    <col min="5" max="5" width="8.85546875" customWidth="1"/>
  </cols>
  <sheetData>
    <row r="1" spans="1:5" ht="48.4" customHeight="1" thickBot="1" x14ac:dyDescent="0.3">
      <c r="A1" s="297" t="s">
        <v>174</v>
      </c>
      <c r="B1" s="297"/>
      <c r="D1" s="297" t="s">
        <v>175</v>
      </c>
      <c r="E1" s="297"/>
    </row>
    <row r="2" spans="1:5" ht="15.75" thickBot="1" x14ac:dyDescent="0.3">
      <c r="A2" s="59" t="s">
        <v>30</v>
      </c>
      <c r="B2" s="59" t="s">
        <v>31</v>
      </c>
      <c r="D2" s="59" t="s">
        <v>30</v>
      </c>
      <c r="E2" s="59" t="s">
        <v>31</v>
      </c>
    </row>
    <row r="3" spans="1:5" ht="15.75" thickBot="1" x14ac:dyDescent="0.3">
      <c r="A3" s="221">
        <v>5</v>
      </c>
      <c r="B3" s="60">
        <v>0.05</v>
      </c>
      <c r="D3" s="221">
        <v>5</v>
      </c>
      <c r="E3" s="60">
        <f>B3-0.005</f>
        <v>4.5000000000000005E-2</v>
      </c>
    </row>
    <row r="4" spans="1:5" ht="15.75" thickBot="1" x14ac:dyDescent="0.3">
      <c r="A4" s="221">
        <v>6</v>
      </c>
      <c r="B4" s="60">
        <v>5.0500000000000003E-2</v>
      </c>
      <c r="D4" s="221">
        <v>6</v>
      </c>
      <c r="E4" s="60">
        <f t="shared" ref="E4:E23" si="0">B4-0.005</f>
        <v>4.5500000000000006E-2</v>
      </c>
    </row>
    <row r="5" spans="1:5" ht="15.75" thickBot="1" x14ac:dyDescent="0.3">
      <c r="A5" s="221">
        <v>7</v>
      </c>
      <c r="B5" s="60">
        <v>5.0999999999999997E-2</v>
      </c>
      <c r="D5" s="221">
        <v>7</v>
      </c>
      <c r="E5" s="60">
        <f t="shared" si="0"/>
        <v>4.5999999999999999E-2</v>
      </c>
    </row>
    <row r="6" spans="1:5" ht="15.75" thickBot="1" x14ac:dyDescent="0.3">
      <c r="A6" s="221">
        <v>8</v>
      </c>
      <c r="B6" s="60">
        <v>5.1499999999999997E-2</v>
      </c>
      <c r="D6" s="221">
        <v>8</v>
      </c>
      <c r="E6" s="60">
        <f t="shared" si="0"/>
        <v>4.65E-2</v>
      </c>
    </row>
    <row r="7" spans="1:5" ht="15.75" thickBot="1" x14ac:dyDescent="0.3">
      <c r="A7" s="221">
        <v>9</v>
      </c>
      <c r="B7" s="60">
        <v>5.1999999999999998E-2</v>
      </c>
      <c r="D7" s="221">
        <v>9</v>
      </c>
      <c r="E7" s="60">
        <f t="shared" si="0"/>
        <v>4.7E-2</v>
      </c>
    </row>
    <row r="8" spans="1:5" ht="15.75" thickBot="1" x14ac:dyDescent="0.3">
      <c r="A8" s="221">
        <v>10</v>
      </c>
      <c r="B8" s="60">
        <v>5.2499999999999998E-2</v>
      </c>
      <c r="D8" s="221">
        <v>10</v>
      </c>
      <c r="E8" s="60">
        <f t="shared" si="0"/>
        <v>4.7500000000000001E-2</v>
      </c>
    </row>
    <row r="9" spans="1:5" ht="15.75" thickBot="1" x14ac:dyDescent="0.3">
      <c r="A9" s="221">
        <v>11</v>
      </c>
      <c r="B9" s="60">
        <v>5.2999999999999999E-2</v>
      </c>
      <c r="D9" s="221">
        <v>11</v>
      </c>
      <c r="E9" s="60">
        <f t="shared" si="0"/>
        <v>4.8000000000000001E-2</v>
      </c>
    </row>
    <row r="10" spans="1:5" ht="15.75" thickBot="1" x14ac:dyDescent="0.3">
      <c r="A10" s="221">
        <v>12</v>
      </c>
      <c r="B10" s="60">
        <v>5.3499999999999999E-2</v>
      </c>
      <c r="D10" s="221">
        <v>12</v>
      </c>
      <c r="E10" s="60">
        <f t="shared" si="0"/>
        <v>4.8500000000000001E-2</v>
      </c>
    </row>
    <row r="11" spans="1:5" ht="15.75" thickBot="1" x14ac:dyDescent="0.3">
      <c r="A11" s="221">
        <v>13</v>
      </c>
      <c r="B11" s="60">
        <v>5.3999999999999999E-2</v>
      </c>
      <c r="D11" s="221">
        <v>13</v>
      </c>
      <c r="E11" s="60">
        <f t="shared" si="0"/>
        <v>4.9000000000000002E-2</v>
      </c>
    </row>
    <row r="12" spans="1:5" ht="15.75" thickBot="1" x14ac:dyDescent="0.3">
      <c r="A12" s="221">
        <v>14</v>
      </c>
      <c r="B12" s="60">
        <v>5.45E-2</v>
      </c>
      <c r="D12" s="221">
        <v>14</v>
      </c>
      <c r="E12" s="60">
        <f t="shared" si="0"/>
        <v>4.9500000000000002E-2</v>
      </c>
    </row>
    <row r="13" spans="1:5" ht="15.75" thickBot="1" x14ac:dyDescent="0.3">
      <c r="A13" s="221">
        <v>15</v>
      </c>
      <c r="B13" s="60">
        <v>5.5E-2</v>
      </c>
      <c r="D13" s="221">
        <v>15</v>
      </c>
      <c r="E13" s="60">
        <f t="shared" si="0"/>
        <v>0.05</v>
      </c>
    </row>
    <row r="14" spans="1:5" ht="15.75" thickBot="1" x14ac:dyDescent="0.3">
      <c r="A14" s="221">
        <v>16</v>
      </c>
      <c r="B14" s="60">
        <v>5.5500000000000001E-2</v>
      </c>
      <c r="D14" s="221">
        <v>16</v>
      </c>
      <c r="E14" s="60">
        <f t="shared" si="0"/>
        <v>5.0500000000000003E-2</v>
      </c>
    </row>
    <row r="15" spans="1:5" ht="15.75" thickBot="1" x14ac:dyDescent="0.3">
      <c r="A15" s="221">
        <v>17</v>
      </c>
      <c r="B15" s="60">
        <v>5.6000000000000001E-2</v>
      </c>
      <c r="D15" s="221">
        <v>17</v>
      </c>
      <c r="E15" s="60">
        <f t="shared" si="0"/>
        <v>5.1000000000000004E-2</v>
      </c>
    </row>
    <row r="16" spans="1:5" ht="15.75" thickBot="1" x14ac:dyDescent="0.3">
      <c r="A16" s="221">
        <v>18</v>
      </c>
      <c r="B16" s="60">
        <v>5.6500000000000002E-2</v>
      </c>
      <c r="D16" s="221">
        <v>18</v>
      </c>
      <c r="E16" s="60">
        <f t="shared" si="0"/>
        <v>5.1500000000000004E-2</v>
      </c>
    </row>
    <row r="17" spans="1:5" ht="15.75" thickBot="1" x14ac:dyDescent="0.3">
      <c r="A17" s="221">
        <v>19</v>
      </c>
      <c r="B17" s="60">
        <v>5.7000000000000002E-2</v>
      </c>
      <c r="D17" s="221">
        <v>19</v>
      </c>
      <c r="E17" s="60">
        <f t="shared" si="0"/>
        <v>5.2000000000000005E-2</v>
      </c>
    </row>
    <row r="18" spans="1:5" ht="15.75" thickBot="1" x14ac:dyDescent="0.3">
      <c r="A18" s="221">
        <v>20</v>
      </c>
      <c r="B18" s="60">
        <v>5.7500000000000002E-2</v>
      </c>
      <c r="D18" s="221">
        <v>20</v>
      </c>
      <c r="E18" s="60">
        <f t="shared" si="0"/>
        <v>5.2500000000000005E-2</v>
      </c>
    </row>
    <row r="19" spans="1:5" ht="15.75" thickBot="1" x14ac:dyDescent="0.3">
      <c r="A19" s="221">
        <v>21</v>
      </c>
      <c r="B19" s="60">
        <v>5.8000000000000003E-2</v>
      </c>
      <c r="D19" s="221">
        <v>21</v>
      </c>
      <c r="E19" s="60">
        <f t="shared" si="0"/>
        <v>5.3000000000000005E-2</v>
      </c>
    </row>
    <row r="20" spans="1:5" ht="15.75" thickBot="1" x14ac:dyDescent="0.3">
      <c r="A20" s="221">
        <v>22</v>
      </c>
      <c r="B20" s="60">
        <v>5.8500000000000003E-2</v>
      </c>
      <c r="D20" s="221">
        <v>22</v>
      </c>
      <c r="E20" s="60">
        <f t="shared" si="0"/>
        <v>5.3500000000000006E-2</v>
      </c>
    </row>
    <row r="21" spans="1:5" ht="15.75" thickBot="1" x14ac:dyDescent="0.3">
      <c r="A21" s="221">
        <v>23</v>
      </c>
      <c r="B21" s="60">
        <v>5.8999999999999997E-2</v>
      </c>
      <c r="D21" s="221">
        <v>23</v>
      </c>
      <c r="E21" s="60">
        <f t="shared" si="0"/>
        <v>5.3999999999999999E-2</v>
      </c>
    </row>
    <row r="22" spans="1:5" ht="15.75" thickBot="1" x14ac:dyDescent="0.3">
      <c r="A22" s="221">
        <v>24</v>
      </c>
      <c r="B22" s="60">
        <v>5.9499999999999997E-2</v>
      </c>
      <c r="D22" s="221">
        <v>24</v>
      </c>
      <c r="E22" s="60">
        <f t="shared" si="0"/>
        <v>5.45E-2</v>
      </c>
    </row>
    <row r="23" spans="1:5" ht="15.75" thickBot="1" x14ac:dyDescent="0.3">
      <c r="A23" s="221">
        <v>25</v>
      </c>
      <c r="B23" s="60">
        <v>5.9499999999999997E-2</v>
      </c>
      <c r="D23" s="221">
        <v>25</v>
      </c>
      <c r="E23" s="60">
        <f t="shared" si="0"/>
        <v>5.45E-2</v>
      </c>
    </row>
  </sheetData>
  <sheetProtection algorithmName="SHA-512" hashValue="wNSAERtTlDVD2LYm/HObJJxjyDvCbnO+yybbvSkiWN0gtwYvQbyCbitSgLovDa83JwJoBhtkVN0MSdDZBvWILA==" saltValue="qMAFCbrDDbEteJmxecCXsw==" spinCount="100000" sheet="1" objects="1" scenarios="1"/>
  <mergeCells count="2">
    <mergeCell ref="A1:B1"/>
    <mergeCell ref="D1:E1"/>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1F017-4E09-42E0-94AF-CCF0C8842D91}">
  <sheetPr codeName="Sheet15">
    <tabColor rgb="FF00B0F0"/>
  </sheetPr>
  <dimension ref="A1:V7"/>
  <sheetViews>
    <sheetView zoomScale="83" workbookViewId="0">
      <selection activeCell="M47" sqref="M47"/>
    </sheetView>
  </sheetViews>
  <sheetFormatPr defaultRowHeight="15" x14ac:dyDescent="0.25"/>
  <cols>
    <col min="1" max="1" width="13.42578125" style="57" customWidth="1"/>
    <col min="2" max="2" width="18.7109375" bestFit="1" customWidth="1"/>
    <col min="11" max="11" width="4.7109375" customWidth="1"/>
    <col min="12" max="12" width="15.7109375" bestFit="1" customWidth="1"/>
    <col min="13" max="13" width="24.7109375" bestFit="1" customWidth="1"/>
    <col min="14" max="22" width="11" customWidth="1"/>
  </cols>
  <sheetData>
    <row r="1" spans="2:22" ht="15.75" thickBot="1" x14ac:dyDescent="0.3">
      <c r="B1" s="163"/>
      <c r="D1" s="164"/>
      <c r="E1" s="163"/>
      <c r="G1" s="164"/>
      <c r="H1" s="165"/>
    </row>
    <row r="2" spans="2:22" ht="16.5" thickBot="1" x14ac:dyDescent="0.3">
      <c r="L2" s="307" t="s">
        <v>126</v>
      </c>
      <c r="M2" s="308"/>
      <c r="N2" s="45"/>
      <c r="O2" s="45"/>
      <c r="P2" s="45"/>
      <c r="Q2" s="45"/>
      <c r="R2" s="45"/>
      <c r="S2" s="45"/>
      <c r="T2" s="45"/>
      <c r="U2" s="45"/>
      <c r="V2" s="45"/>
    </row>
    <row r="3" spans="2:22" ht="15.75" x14ac:dyDescent="0.25">
      <c r="L3" s="168" t="s">
        <v>66</v>
      </c>
      <c r="M3" s="169" t="s">
        <v>123</v>
      </c>
      <c r="N3" s="298" t="s">
        <v>125</v>
      </c>
      <c r="O3" s="299"/>
      <c r="P3" s="299"/>
      <c r="Q3" s="299"/>
      <c r="R3" s="299"/>
      <c r="S3" s="299"/>
      <c r="T3" s="299"/>
      <c r="U3" s="299"/>
      <c r="V3" s="300"/>
    </row>
    <row r="4" spans="2:22" ht="8.25" customHeight="1" x14ac:dyDescent="0.25">
      <c r="L4" s="170"/>
      <c r="M4" s="171"/>
      <c r="N4" s="45"/>
      <c r="O4" s="45"/>
      <c r="P4" s="45"/>
      <c r="Q4" s="45"/>
      <c r="R4" s="45"/>
      <c r="S4" s="45"/>
      <c r="T4" s="45"/>
      <c r="U4" s="45"/>
      <c r="V4" s="172"/>
    </row>
    <row r="5" spans="2:22" ht="15.75" x14ac:dyDescent="0.25">
      <c r="L5" s="173" t="s">
        <v>122</v>
      </c>
      <c r="M5" s="166">
        <f>0.0735+0.013622+0.009298-0.000898</f>
        <v>9.5521999999999996E-2</v>
      </c>
      <c r="N5" s="301" t="s">
        <v>124</v>
      </c>
      <c r="O5" s="302"/>
      <c r="P5" s="302"/>
      <c r="Q5" s="302"/>
      <c r="R5" s="302"/>
      <c r="S5" s="302"/>
      <c r="T5" s="302"/>
      <c r="U5" s="302"/>
      <c r="V5" s="303"/>
    </row>
    <row r="6" spans="2:22" ht="8.25" customHeight="1" x14ac:dyDescent="0.25">
      <c r="L6" s="170"/>
      <c r="M6" s="171"/>
      <c r="N6" s="45"/>
      <c r="O6" s="45"/>
      <c r="P6" s="45"/>
      <c r="Q6" s="45"/>
      <c r="R6" s="45"/>
      <c r="S6" s="45"/>
      <c r="T6" s="45"/>
      <c r="U6" s="45"/>
      <c r="V6" s="172"/>
    </row>
    <row r="7" spans="2:22" ht="16.5" thickBot="1" x14ac:dyDescent="0.3">
      <c r="L7" s="174" t="s">
        <v>121</v>
      </c>
      <c r="M7" s="167">
        <f>4.25+11.34+2.25</f>
        <v>17.84</v>
      </c>
      <c r="N7" s="304" t="s">
        <v>127</v>
      </c>
      <c r="O7" s="305"/>
      <c r="P7" s="305"/>
      <c r="Q7" s="305"/>
      <c r="R7" s="305"/>
      <c r="S7" s="305"/>
      <c r="T7" s="305"/>
      <c r="U7" s="305"/>
      <c r="V7" s="306"/>
    </row>
  </sheetData>
  <mergeCells count="4">
    <mergeCell ref="N3:V3"/>
    <mergeCell ref="N5:V5"/>
    <mergeCell ref="N7:V7"/>
    <mergeCell ref="L2:M2"/>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66"/>
  </sheetPr>
  <dimension ref="B1:W64"/>
  <sheetViews>
    <sheetView tabSelected="1" topLeftCell="C20" zoomScale="118" zoomScaleNormal="145" workbookViewId="0">
      <selection activeCell="D38" sqref="D38"/>
    </sheetView>
  </sheetViews>
  <sheetFormatPr defaultColWidth="9.28515625" defaultRowHeight="14.25" x14ac:dyDescent="0.2"/>
  <cols>
    <col min="1" max="1" width="2.7109375" style="45" customWidth="1"/>
    <col min="2" max="2" width="73.7109375" style="45" customWidth="1"/>
    <col min="3" max="3" width="16.42578125" style="51" customWidth="1"/>
    <col min="4" max="4" width="125.5703125" style="45" customWidth="1"/>
    <col min="5" max="5" width="9.28515625" style="51"/>
    <col min="6" max="6" width="10.28515625" style="51" bestFit="1" customWidth="1"/>
    <col min="7" max="7" width="9.28515625" style="51"/>
    <col min="8" max="8" width="10.28515625" style="51" bestFit="1" customWidth="1"/>
    <col min="9" max="14" width="9.28515625" style="51"/>
    <col min="15" max="22" width="9.28515625" style="45"/>
    <col min="23" max="23" width="9.28515625" style="46"/>
    <col min="24" max="16384" width="9.28515625" style="45"/>
  </cols>
  <sheetData>
    <row r="1" spans="2:23" x14ac:dyDescent="0.2">
      <c r="D1" s="51"/>
      <c r="N1" s="45"/>
      <c r="V1" s="46" t="s">
        <v>13</v>
      </c>
      <c r="W1" s="45"/>
    </row>
    <row r="2" spans="2:23" ht="15" customHeight="1" x14ac:dyDescent="0.2">
      <c r="B2" s="64" t="s">
        <v>109</v>
      </c>
      <c r="C2" s="61"/>
      <c r="D2" s="51"/>
      <c r="N2" s="45"/>
      <c r="V2" s="46" t="s">
        <v>35</v>
      </c>
      <c r="W2" s="45"/>
    </row>
    <row r="3" spans="2:23" ht="15.75" customHeight="1" x14ac:dyDescent="0.2">
      <c r="B3" s="62"/>
      <c r="C3" s="61"/>
      <c r="D3" s="51"/>
      <c r="N3" s="45"/>
      <c r="V3" s="46"/>
      <c r="W3" s="45"/>
    </row>
    <row r="4" spans="2:23" ht="17.25" customHeight="1" x14ac:dyDescent="0.2">
      <c r="D4" s="51"/>
      <c r="N4" s="45"/>
      <c r="V4" s="46"/>
      <c r="W4" s="45"/>
    </row>
    <row r="5" spans="2:23" ht="17.25" customHeight="1" thickBot="1" x14ac:dyDescent="0.3">
      <c r="B5" s="72" t="s">
        <v>69</v>
      </c>
      <c r="C5" s="63"/>
      <c r="D5" s="51"/>
      <c r="N5" s="45"/>
      <c r="V5" s="46"/>
      <c r="W5" s="45"/>
    </row>
    <row r="6" spans="2:23" ht="17.25" customHeight="1" x14ac:dyDescent="0.25">
      <c r="B6" s="48"/>
      <c r="C6" s="50"/>
      <c r="D6" s="51"/>
      <c r="N6" s="45"/>
      <c r="V6" s="46"/>
      <c r="W6" s="45"/>
    </row>
    <row r="7" spans="2:23" x14ac:dyDescent="0.2">
      <c r="B7" s="67" t="s">
        <v>0</v>
      </c>
      <c r="C7" s="109"/>
      <c r="D7" s="51"/>
      <c r="N7" s="45"/>
      <c r="V7" s="46"/>
      <c r="W7" s="45"/>
    </row>
    <row r="8" spans="2:23" x14ac:dyDescent="0.2">
      <c r="B8" s="66" t="s">
        <v>110</v>
      </c>
      <c r="C8" s="105"/>
      <c r="D8" s="51"/>
      <c r="N8" s="45"/>
      <c r="V8" s="46"/>
      <c r="W8" s="45"/>
    </row>
    <row r="9" spans="2:23" x14ac:dyDescent="0.2">
      <c r="B9" s="67" t="s">
        <v>94</v>
      </c>
      <c r="C9" s="105"/>
      <c r="D9" s="51"/>
      <c r="N9" s="45"/>
      <c r="V9" s="46"/>
      <c r="W9" s="45"/>
    </row>
    <row r="10" spans="2:23" x14ac:dyDescent="0.2">
      <c r="B10" s="66" t="s">
        <v>95</v>
      </c>
      <c r="C10" s="105"/>
      <c r="D10" s="51"/>
      <c r="N10" s="45"/>
      <c r="V10" s="46"/>
      <c r="W10" s="45"/>
    </row>
    <row r="11" spans="2:23" x14ac:dyDescent="0.2">
      <c r="B11" s="67" t="s">
        <v>96</v>
      </c>
      <c r="C11" s="204" t="s">
        <v>130</v>
      </c>
      <c r="D11" s="51"/>
      <c r="N11" s="45"/>
      <c r="V11" s="46"/>
      <c r="W11" s="45"/>
    </row>
    <row r="12" spans="2:23" x14ac:dyDescent="0.2">
      <c r="B12" s="66" t="s">
        <v>97</v>
      </c>
      <c r="C12" s="110"/>
      <c r="D12" s="51"/>
      <c r="N12" s="45"/>
      <c r="V12" s="46"/>
      <c r="W12" s="45"/>
    </row>
    <row r="13" spans="2:23" x14ac:dyDescent="0.2">
      <c r="B13" s="67" t="s">
        <v>153</v>
      </c>
      <c r="C13" s="154"/>
      <c r="D13" s="151" t="s">
        <v>156</v>
      </c>
      <c r="E13" s="50"/>
      <c r="H13" s="150"/>
      <c r="N13" s="45"/>
      <c r="V13" s="46"/>
      <c r="W13" s="45"/>
    </row>
    <row r="14" spans="2:23" x14ac:dyDescent="0.2">
      <c r="B14" s="66" t="s">
        <v>154</v>
      </c>
      <c r="C14" s="206"/>
      <c r="D14" s="151" t="s">
        <v>155</v>
      </c>
      <c r="E14" s="50"/>
      <c r="H14" s="150"/>
      <c r="N14" s="45"/>
      <c r="V14" s="46"/>
      <c r="W14" s="45"/>
    </row>
    <row r="15" spans="2:23" x14ac:dyDescent="0.2">
      <c r="B15" s="49"/>
      <c r="C15" s="45"/>
      <c r="D15" s="51"/>
      <c r="N15" s="45"/>
      <c r="V15" s="46"/>
      <c r="W15" s="45"/>
    </row>
    <row r="16" spans="2:23" ht="17.25" customHeight="1" thickBot="1" x14ac:dyDescent="0.3">
      <c r="B16" s="72" t="s">
        <v>72</v>
      </c>
      <c r="C16" s="63"/>
      <c r="D16" s="51"/>
      <c r="N16" s="45"/>
      <c r="V16" s="46"/>
      <c r="W16" s="45"/>
    </row>
    <row r="17" spans="2:23" ht="17.25" customHeight="1" x14ac:dyDescent="0.2">
      <c r="B17" s="49"/>
      <c r="C17" s="53"/>
      <c r="D17" s="51"/>
      <c r="N17" s="45"/>
      <c r="V17" s="46"/>
      <c r="W17" s="45"/>
    </row>
    <row r="18" spans="2:23" x14ac:dyDescent="0.2">
      <c r="B18" s="68" t="s">
        <v>67</v>
      </c>
      <c r="C18" s="111"/>
      <c r="D18" s="151" t="s">
        <v>112</v>
      </c>
      <c r="N18" s="45"/>
      <c r="V18" s="46"/>
      <c r="W18" s="45"/>
    </row>
    <row r="19" spans="2:23" x14ac:dyDescent="0.2">
      <c r="B19" s="65" t="s">
        <v>146</v>
      </c>
      <c r="C19" s="111"/>
      <c r="D19" s="151" t="s">
        <v>111</v>
      </c>
      <c r="N19" s="45"/>
      <c r="V19" s="46"/>
      <c r="W19" s="45"/>
    </row>
    <row r="20" spans="2:23" x14ac:dyDescent="0.2">
      <c r="B20" s="68" t="s">
        <v>68</v>
      </c>
      <c r="C20" s="205"/>
      <c r="D20" s="151" t="s">
        <v>111</v>
      </c>
      <c r="E20" s="50"/>
      <c r="M20" s="50"/>
      <c r="N20" s="45"/>
      <c r="V20" s="46"/>
      <c r="W20" s="45"/>
    </row>
    <row r="21" spans="2:23" x14ac:dyDescent="0.2">
      <c r="B21" s="194" t="s">
        <v>1</v>
      </c>
      <c r="C21" s="220"/>
      <c r="D21" s="151" t="s">
        <v>173</v>
      </c>
      <c r="E21" s="50"/>
      <c r="M21" s="50"/>
      <c r="N21" s="45"/>
      <c r="V21" s="46"/>
      <c r="W21" s="45"/>
    </row>
    <row r="22" spans="2:23" ht="17.25" customHeight="1" x14ac:dyDescent="0.2">
      <c r="B22" s="49"/>
      <c r="D22" s="50"/>
      <c r="E22" s="50"/>
      <c r="M22" s="50"/>
      <c r="N22" s="45"/>
      <c r="V22" s="46"/>
      <c r="W22" s="45"/>
    </row>
    <row r="23" spans="2:23" ht="17.25" customHeight="1" thickBot="1" x14ac:dyDescent="0.3">
      <c r="B23" s="72" t="s">
        <v>75</v>
      </c>
      <c r="C23" s="63"/>
      <c r="D23" s="50"/>
      <c r="E23" s="50"/>
      <c r="M23" s="50"/>
      <c r="N23" s="45"/>
      <c r="V23" s="46"/>
      <c r="W23" s="45"/>
    </row>
    <row r="24" spans="2:23" ht="17.25" customHeight="1" x14ac:dyDescent="0.25">
      <c r="B24" s="48"/>
      <c r="C24" s="50"/>
      <c r="D24" s="50"/>
      <c r="E24" s="50"/>
      <c r="M24" s="50"/>
      <c r="N24" s="45"/>
      <c r="V24" s="46"/>
      <c r="W24" s="45"/>
    </row>
    <row r="25" spans="2:23" x14ac:dyDescent="0.2">
      <c r="B25" s="70" t="s">
        <v>36</v>
      </c>
      <c r="C25" s="112"/>
      <c r="D25" s="151" t="s">
        <v>19</v>
      </c>
      <c r="E25" s="50"/>
      <c r="M25" s="50"/>
      <c r="N25" s="45"/>
      <c r="V25" s="46"/>
      <c r="W25" s="45"/>
    </row>
    <row r="26" spans="2:23" x14ac:dyDescent="0.2">
      <c r="B26" s="71" t="s">
        <v>65</v>
      </c>
      <c r="C26" s="112"/>
      <c r="D26" s="151" t="s">
        <v>20</v>
      </c>
      <c r="E26" s="50"/>
      <c r="M26" s="50"/>
      <c r="N26" s="45"/>
      <c r="V26" s="46"/>
      <c r="W26" s="45"/>
    </row>
    <row r="27" spans="2:23" x14ac:dyDescent="0.2">
      <c r="B27" s="70" t="s">
        <v>21</v>
      </c>
      <c r="C27" s="113"/>
      <c r="D27" s="151" t="s">
        <v>113</v>
      </c>
      <c r="E27" s="50"/>
      <c r="M27" s="50"/>
      <c r="N27" s="45"/>
      <c r="V27" s="46"/>
      <c r="W27" s="45"/>
    </row>
    <row r="28" spans="2:23" x14ac:dyDescent="0.2">
      <c r="B28" s="71" t="s">
        <v>76</v>
      </c>
      <c r="C28" s="162">
        <v>0.3</v>
      </c>
      <c r="D28" s="151" t="s">
        <v>176</v>
      </c>
      <c r="E28" s="50"/>
      <c r="M28" s="50"/>
      <c r="N28" s="45"/>
      <c r="V28" s="46"/>
      <c r="W28" s="45"/>
    </row>
    <row r="29" spans="2:23" ht="17.25" customHeight="1" x14ac:dyDescent="0.2">
      <c r="B29" s="49"/>
      <c r="C29" s="49"/>
      <c r="D29" s="148"/>
      <c r="E29" s="50"/>
      <c r="F29" s="50"/>
      <c r="G29" s="50"/>
      <c r="H29" s="50"/>
      <c r="I29" s="50"/>
      <c r="J29" s="50"/>
      <c r="K29" s="50"/>
      <c r="L29" s="50"/>
      <c r="M29" s="50"/>
      <c r="N29" s="45"/>
      <c r="V29" s="46"/>
      <c r="W29" s="45"/>
    </row>
    <row r="30" spans="2:23" ht="17.25" customHeight="1" thickBot="1" x14ac:dyDescent="0.3">
      <c r="B30" s="72" t="s">
        <v>70</v>
      </c>
      <c r="C30" s="63"/>
      <c r="D30" s="50"/>
      <c r="E30" s="50"/>
      <c r="F30" s="50"/>
      <c r="G30" s="50"/>
      <c r="H30" s="50"/>
      <c r="I30" s="50"/>
      <c r="J30" s="50"/>
      <c r="K30" s="50"/>
      <c r="L30" s="50"/>
      <c r="M30" s="50"/>
      <c r="N30" s="45"/>
      <c r="V30" s="46"/>
      <c r="W30" s="45"/>
    </row>
    <row r="31" spans="2:23" ht="17.25" customHeight="1" x14ac:dyDescent="0.25">
      <c r="B31" s="47"/>
      <c r="C31" s="52"/>
      <c r="D31" s="50"/>
      <c r="E31" s="50"/>
      <c r="F31" s="50"/>
      <c r="G31" s="50"/>
      <c r="H31" s="50"/>
      <c r="I31" s="50"/>
      <c r="J31" s="50"/>
      <c r="K31" s="50"/>
      <c r="L31" s="50"/>
      <c r="M31" s="50"/>
      <c r="N31" s="45"/>
      <c r="V31" s="46"/>
      <c r="W31" s="45"/>
    </row>
    <row r="32" spans="2:23" x14ac:dyDescent="0.2">
      <c r="B32" s="65" t="s">
        <v>11</v>
      </c>
      <c r="C32" s="105"/>
      <c r="D32" s="50"/>
      <c r="E32" s="50"/>
      <c r="F32" s="50"/>
      <c r="G32" s="50"/>
      <c r="H32" s="50"/>
      <c r="I32" s="50"/>
      <c r="J32" s="50"/>
      <c r="K32" s="50"/>
      <c r="L32" s="50"/>
      <c r="M32" s="50"/>
      <c r="N32" s="45"/>
      <c r="V32" s="46"/>
      <c r="W32" s="45"/>
    </row>
    <row r="33" spans="2:23" x14ac:dyDescent="0.2">
      <c r="B33" s="65" t="s">
        <v>148</v>
      </c>
      <c r="C33" s="105"/>
      <c r="D33" s="151" t="s">
        <v>169</v>
      </c>
      <c r="E33" s="50"/>
      <c r="F33" s="50"/>
      <c r="G33" s="50"/>
      <c r="H33" s="50"/>
      <c r="I33" s="50"/>
      <c r="J33" s="50"/>
      <c r="K33" s="50"/>
      <c r="L33" s="50"/>
      <c r="M33" s="50"/>
      <c r="N33" s="45"/>
      <c r="V33" s="46"/>
      <c r="W33" s="45"/>
    </row>
    <row r="34" spans="2:23" x14ac:dyDescent="0.2">
      <c r="B34" s="65" t="s">
        <v>149</v>
      </c>
      <c r="C34" s="207" t="e">
        <f>C32/C33</f>
        <v>#DIV/0!</v>
      </c>
      <c r="D34" s="50"/>
      <c r="E34" s="50"/>
      <c r="F34" s="50"/>
      <c r="G34" s="50"/>
      <c r="H34" s="50"/>
      <c r="I34" s="50"/>
      <c r="J34" s="50"/>
      <c r="K34" s="50"/>
      <c r="L34" s="50"/>
      <c r="M34" s="50"/>
      <c r="N34" s="45"/>
      <c r="V34" s="46"/>
      <c r="W34" s="45"/>
    </row>
    <row r="35" spans="2:23" x14ac:dyDescent="0.2">
      <c r="B35" s="65" t="s">
        <v>71</v>
      </c>
      <c r="C35" s="106"/>
      <c r="D35" s="151" t="s">
        <v>108</v>
      </c>
      <c r="E35" s="50"/>
      <c r="F35" s="50"/>
      <c r="G35" s="50"/>
      <c r="H35" s="50"/>
      <c r="I35" s="50"/>
      <c r="J35" s="50"/>
      <c r="K35" s="50"/>
      <c r="L35" s="50"/>
      <c r="M35" s="50"/>
      <c r="N35" s="45"/>
      <c r="V35" s="46"/>
      <c r="W35" s="45"/>
    </row>
    <row r="36" spans="2:23" x14ac:dyDescent="0.2">
      <c r="B36" s="65" t="s">
        <v>57</v>
      </c>
      <c r="C36" s="107"/>
      <c r="D36" s="151" t="s">
        <v>114</v>
      </c>
      <c r="E36" s="50"/>
      <c r="F36" s="50"/>
      <c r="G36" s="50"/>
      <c r="H36" s="50"/>
      <c r="I36" s="50"/>
      <c r="J36" s="50"/>
      <c r="K36" s="50"/>
      <c r="L36" s="50"/>
      <c r="M36" s="50"/>
      <c r="N36" s="45"/>
      <c r="V36" s="46"/>
      <c r="W36" s="45"/>
    </row>
    <row r="37" spans="2:23" x14ac:dyDescent="0.2">
      <c r="B37" s="65" t="s">
        <v>115</v>
      </c>
      <c r="C37" s="107"/>
      <c r="D37" s="151" t="s">
        <v>77</v>
      </c>
      <c r="E37" s="50"/>
      <c r="F37" s="50"/>
      <c r="G37" s="50"/>
      <c r="H37" s="50"/>
      <c r="I37" s="50"/>
      <c r="J37" s="50"/>
      <c r="K37" s="50"/>
      <c r="L37" s="50"/>
      <c r="M37" s="50"/>
      <c r="N37" s="45"/>
      <c r="V37" s="46"/>
      <c r="W37" s="45"/>
    </row>
    <row r="38" spans="2:23" x14ac:dyDescent="0.2">
      <c r="B38" s="194" t="s">
        <v>147</v>
      </c>
      <c r="C38" s="222"/>
      <c r="D38" s="151" t="s">
        <v>178</v>
      </c>
      <c r="E38" s="50"/>
      <c r="M38" s="50"/>
      <c r="N38" s="45"/>
      <c r="V38" s="46"/>
      <c r="W38" s="45"/>
    </row>
    <row r="39" spans="2:23" x14ac:dyDescent="0.2">
      <c r="B39" s="65" t="s">
        <v>157</v>
      </c>
      <c r="C39" s="222"/>
      <c r="D39" s="151" t="s">
        <v>178</v>
      </c>
      <c r="E39" s="50"/>
      <c r="M39" s="50"/>
      <c r="N39" s="45"/>
      <c r="V39" s="46"/>
      <c r="W39" s="45"/>
    </row>
    <row r="40" spans="2:23" x14ac:dyDescent="0.2">
      <c r="B40" s="65" t="s">
        <v>158</v>
      </c>
      <c r="C40" s="203">
        <v>20</v>
      </c>
      <c r="D40" s="151" t="s">
        <v>145</v>
      </c>
      <c r="E40" s="50"/>
      <c r="F40" s="50"/>
      <c r="G40" s="50"/>
      <c r="H40" s="50"/>
      <c r="I40" s="50"/>
      <c r="J40" s="50"/>
      <c r="K40" s="50"/>
      <c r="L40" s="50"/>
      <c r="M40" s="50"/>
      <c r="N40" s="45"/>
      <c r="V40" s="46"/>
      <c r="W40" s="45"/>
    </row>
    <row r="41" spans="2:23" x14ac:dyDescent="0.2">
      <c r="B41" s="65" t="s">
        <v>141</v>
      </c>
      <c r="C41" s="108"/>
      <c r="D41" s="151" t="s">
        <v>116</v>
      </c>
      <c r="E41" s="50"/>
      <c r="F41" s="50"/>
      <c r="G41" s="50"/>
      <c r="H41" s="50"/>
      <c r="I41" s="50"/>
      <c r="J41" s="50"/>
      <c r="K41" s="50"/>
      <c r="L41" s="50"/>
      <c r="M41" s="50"/>
      <c r="N41" s="45"/>
      <c r="V41" s="46"/>
      <c r="W41" s="45"/>
    </row>
    <row r="42" spans="2:23" ht="15.6" customHeight="1" x14ac:dyDescent="0.3">
      <c r="B42" s="65" t="s">
        <v>139</v>
      </c>
      <c r="C42" s="108"/>
      <c r="D42" s="151" t="s">
        <v>117</v>
      </c>
      <c r="E42" s="158"/>
      <c r="F42" s="50"/>
      <c r="G42" s="50"/>
      <c r="H42" s="50"/>
      <c r="I42" s="50"/>
      <c r="J42" s="50"/>
      <c r="K42" s="50"/>
      <c r="L42" s="50"/>
      <c r="M42" s="50"/>
      <c r="N42" s="45"/>
      <c r="V42" s="46"/>
      <c r="W42" s="45"/>
    </row>
    <row r="43" spans="2:23" ht="15" customHeight="1" x14ac:dyDescent="0.2">
      <c r="B43" s="65" t="s">
        <v>140</v>
      </c>
      <c r="C43" s="108"/>
      <c r="D43" s="151"/>
      <c r="E43" s="50"/>
      <c r="F43" s="50"/>
      <c r="G43" s="50"/>
      <c r="H43" s="50"/>
      <c r="I43" s="50"/>
      <c r="J43" s="50"/>
      <c r="K43" s="50"/>
      <c r="L43" s="50"/>
      <c r="M43" s="50"/>
      <c r="N43" s="45"/>
      <c r="V43" s="46"/>
      <c r="W43" s="45"/>
    </row>
    <row r="44" spans="2:23" x14ac:dyDescent="0.2">
      <c r="B44" s="65" t="s">
        <v>132</v>
      </c>
      <c r="C44" s="108"/>
      <c r="D44" s="151" t="s">
        <v>151</v>
      </c>
      <c r="E44" s="50"/>
      <c r="F44" s="50"/>
      <c r="G44" s="50"/>
      <c r="H44" s="50"/>
      <c r="I44" s="50"/>
      <c r="J44" s="50"/>
      <c r="K44" s="50"/>
      <c r="L44" s="50"/>
      <c r="M44" s="50"/>
      <c r="N44" s="45"/>
      <c r="V44" s="46"/>
      <c r="W44" s="45"/>
    </row>
    <row r="45" spans="2:23" x14ac:dyDescent="0.2">
      <c r="B45" s="65" t="s">
        <v>73</v>
      </c>
      <c r="C45" s="104">
        <v>5.0000000000000001E-3</v>
      </c>
      <c r="D45" s="151" t="s">
        <v>137</v>
      </c>
      <c r="E45" s="50"/>
      <c r="F45" s="50"/>
      <c r="G45" s="50"/>
      <c r="H45" s="50"/>
      <c r="I45" s="50"/>
      <c r="J45" s="50"/>
      <c r="K45" s="50"/>
      <c r="L45" s="50"/>
      <c r="M45" s="50"/>
      <c r="N45" s="45"/>
      <c r="V45" s="46"/>
      <c r="W45" s="45"/>
    </row>
    <row r="46" spans="2:23" x14ac:dyDescent="0.2">
      <c r="B46" s="65" t="s">
        <v>7</v>
      </c>
      <c r="C46" s="103" t="e">
        <f>C36/C32</f>
        <v>#DIV/0!</v>
      </c>
      <c r="D46" s="153"/>
      <c r="E46" s="50"/>
      <c r="F46" s="50"/>
      <c r="G46" s="50"/>
      <c r="H46" s="50"/>
      <c r="I46" s="50"/>
      <c r="J46" s="50"/>
      <c r="K46" s="50"/>
      <c r="L46" s="50"/>
      <c r="M46" s="50"/>
      <c r="N46" s="45"/>
      <c r="V46" s="46"/>
      <c r="W46" s="45"/>
    </row>
    <row r="47" spans="2:23" x14ac:dyDescent="0.2">
      <c r="B47" s="65" t="s">
        <v>5</v>
      </c>
      <c r="C47" s="104" t="e">
        <f>C35/(C32/1000*8760)</f>
        <v>#DIV/0!</v>
      </c>
      <c r="D47" s="149"/>
      <c r="E47" s="50"/>
      <c r="F47" s="50"/>
      <c r="G47" s="50"/>
      <c r="H47" s="50"/>
      <c r="I47" s="50"/>
      <c r="J47" s="50"/>
      <c r="K47" s="50"/>
      <c r="L47" s="50"/>
      <c r="M47" s="50"/>
      <c r="N47" s="45"/>
      <c r="V47" s="46"/>
      <c r="W47" s="45"/>
    </row>
    <row r="48" spans="2:23" x14ac:dyDescent="0.2">
      <c r="B48" s="49"/>
      <c r="C48" s="45"/>
      <c r="E48" s="50"/>
      <c r="F48" s="50"/>
      <c r="G48" s="50"/>
      <c r="H48" s="50"/>
      <c r="I48" s="50"/>
      <c r="J48" s="50"/>
      <c r="K48" s="50"/>
      <c r="L48" s="50"/>
      <c r="M48" s="50"/>
      <c r="N48" s="50"/>
    </row>
    <row r="49" spans="2:23" ht="16.5" thickBot="1" x14ac:dyDescent="0.3">
      <c r="B49" s="72" t="s">
        <v>78</v>
      </c>
      <c r="C49" s="63"/>
      <c r="D49" s="51"/>
      <c r="N49" s="45"/>
      <c r="V49" s="46"/>
      <c r="W49" s="45"/>
    </row>
    <row r="50" spans="2:23" x14ac:dyDescent="0.2">
      <c r="C50" s="45"/>
      <c r="D50" s="54"/>
      <c r="N50" s="45"/>
      <c r="V50" s="46"/>
      <c r="W50" s="45"/>
    </row>
    <row r="51" spans="2:23" x14ac:dyDescent="0.2">
      <c r="B51" s="69" t="s">
        <v>91</v>
      </c>
      <c r="C51" s="114">
        <f>C36+C37</f>
        <v>0</v>
      </c>
      <c r="D51" s="54"/>
      <c r="N51" s="45"/>
      <c r="V51" s="46"/>
      <c r="W51" s="45"/>
    </row>
    <row r="52" spans="2:23" x14ac:dyDescent="0.2">
      <c r="B52" s="73" t="s">
        <v>98</v>
      </c>
      <c r="C52" s="107"/>
      <c r="D52" s="151" t="s">
        <v>119</v>
      </c>
      <c r="E52" s="50"/>
      <c r="F52" s="50"/>
      <c r="N52" s="45"/>
      <c r="V52" s="46"/>
      <c r="W52" s="45"/>
    </row>
    <row r="53" spans="2:23" x14ac:dyDescent="0.2">
      <c r="B53" s="69" t="s">
        <v>58</v>
      </c>
      <c r="C53" s="114">
        <f>C51-C52</f>
        <v>0</v>
      </c>
      <c r="D53" s="151"/>
      <c r="E53" s="50"/>
      <c r="F53" s="50"/>
      <c r="N53" s="45"/>
      <c r="V53" s="46"/>
      <c r="W53" s="45"/>
    </row>
    <row r="54" spans="2:23" x14ac:dyDescent="0.2">
      <c r="B54" s="73" t="s">
        <v>136</v>
      </c>
      <c r="C54" s="107"/>
      <c r="D54" s="151"/>
      <c r="N54" s="45"/>
      <c r="V54" s="46"/>
      <c r="W54" s="45"/>
    </row>
    <row r="55" spans="2:23" x14ac:dyDescent="0.2">
      <c r="B55" s="69" t="s">
        <v>135</v>
      </c>
      <c r="C55" s="114">
        <f>C53-C54</f>
        <v>0</v>
      </c>
      <c r="D55" s="151"/>
      <c r="N55" s="45"/>
      <c r="V55" s="46"/>
      <c r="W55" s="45"/>
    </row>
    <row r="56" spans="2:23" x14ac:dyDescent="0.2">
      <c r="B56" s="73" t="s">
        <v>134</v>
      </c>
      <c r="C56" s="114">
        <f>'CLOSING FEE CALCULATOR'!F10</f>
        <v>0</v>
      </c>
      <c r="D56" s="151"/>
      <c r="E56" s="50"/>
      <c r="F56" s="50"/>
      <c r="N56" s="45"/>
      <c r="V56" s="46"/>
      <c r="W56" s="45"/>
    </row>
    <row r="57" spans="2:23" x14ac:dyDescent="0.2">
      <c r="B57" s="69" t="s">
        <v>133</v>
      </c>
      <c r="C57" s="115">
        <f>C55+C56</f>
        <v>0</v>
      </c>
      <c r="D57" s="51"/>
      <c r="N57" s="45"/>
      <c r="V57" s="46"/>
      <c r="W57" s="45"/>
    </row>
    <row r="58" spans="2:23" x14ac:dyDescent="0.2">
      <c r="B58" s="73"/>
      <c r="C58" s="202"/>
      <c r="D58" s="51"/>
      <c r="N58" s="45"/>
      <c r="V58" s="46"/>
      <c r="W58" s="45"/>
    </row>
    <row r="59" spans="2:23" ht="17.25" customHeight="1" thickBot="1" x14ac:dyDescent="0.3">
      <c r="B59" s="72" t="s">
        <v>74</v>
      </c>
      <c r="C59" s="63"/>
      <c r="D59" s="50"/>
      <c r="E59" s="50"/>
      <c r="M59" s="50"/>
      <c r="N59" s="45"/>
      <c r="V59" s="46"/>
      <c r="W59" s="45"/>
    </row>
    <row r="60" spans="2:23" ht="17.25" customHeight="1" x14ac:dyDescent="0.2">
      <c r="B60" s="49"/>
      <c r="C60" s="53"/>
      <c r="D60" s="50"/>
      <c r="E60" s="50"/>
      <c r="M60" s="50"/>
      <c r="N60" s="45"/>
      <c r="V60" s="46"/>
      <c r="W60" s="45"/>
    </row>
    <row r="61" spans="2:23" x14ac:dyDescent="0.2">
      <c r="B61" s="70" t="s">
        <v>143</v>
      </c>
      <c r="C61" s="105"/>
      <c r="D61" s="151" t="s">
        <v>118</v>
      </c>
      <c r="E61" s="50"/>
      <c r="M61" s="50"/>
      <c r="N61" s="45"/>
      <c r="V61" s="46"/>
      <c r="W61" s="45"/>
    </row>
    <row r="62" spans="2:23" x14ac:dyDescent="0.2">
      <c r="B62" s="71" t="s">
        <v>142</v>
      </c>
      <c r="C62" s="155" t="e">
        <f>IF(INPUTS!C51&lt;500000,(VLOOKUP(INPUTS!C61,'INTEREST RATES'!D3:E23,2,2)),(VLOOKUP(INPUTS!C61,'INTEREST RATES'!A3:B23,2,2)))</f>
        <v>#N/A</v>
      </c>
      <c r="D62" s="151" t="s">
        <v>138</v>
      </c>
      <c r="E62" s="50"/>
      <c r="M62" s="50"/>
      <c r="N62" s="45"/>
      <c r="V62" s="46"/>
      <c r="W62" s="45"/>
    </row>
    <row r="63" spans="2:23" x14ac:dyDescent="0.2">
      <c r="B63" s="70" t="s">
        <v>144</v>
      </c>
      <c r="C63" s="156">
        <f>'SUMMARY OF PV MEASURE'!F3</f>
        <v>0</v>
      </c>
      <c r="D63" s="151" t="s">
        <v>150</v>
      </c>
      <c r="E63" s="50"/>
      <c r="M63" s="50"/>
      <c r="N63" s="45"/>
      <c r="V63" s="46"/>
      <c r="W63" s="45"/>
    </row>
    <row r="64" spans="2:23" x14ac:dyDescent="0.2">
      <c r="C64" s="45"/>
      <c r="E64" s="45"/>
    </row>
  </sheetData>
  <conditionalFormatting sqref="C13:C14 C32:C33 C51:C57 C61:C63 C41:C44 C18:C20 C35:C39">
    <cfRule type="containsBlanks" dxfId="14" priority="15">
      <formula>LEN(TRIM(C13))=0</formula>
    </cfRule>
  </conditionalFormatting>
  <conditionalFormatting sqref="C61 C63">
    <cfRule type="containsBlanks" dxfId="13" priority="11">
      <formula>LEN(TRIM(C61))=0</formula>
    </cfRule>
  </conditionalFormatting>
  <conditionalFormatting sqref="C25:C27">
    <cfRule type="containsBlanks" dxfId="12" priority="9">
      <formula>LEN(TRIM(C25))=0</formula>
    </cfRule>
  </conditionalFormatting>
  <conditionalFormatting sqref="C7:C10 C12:C14">
    <cfRule type="containsBlanks" dxfId="11" priority="5">
      <formula>LEN(TRIM(C7))=0</formula>
    </cfRule>
  </conditionalFormatting>
  <conditionalFormatting sqref="C61">
    <cfRule type="expression" dxfId="10" priority="3">
      <formula>$C$61&gt;$C$63</formula>
    </cfRule>
  </conditionalFormatting>
  <conditionalFormatting sqref="C28">
    <cfRule type="containsBlanks" dxfId="9" priority="2">
      <formula>LEN(TRIM(C28))=0</formula>
    </cfRule>
  </conditionalFormatting>
  <conditionalFormatting sqref="C21">
    <cfRule type="containsBlanks" dxfId="8" priority="1">
      <formula>LEN(TRIM(C21))=0</formula>
    </cfRule>
  </conditionalFormatting>
  <dataValidations count="1">
    <dataValidation type="list" allowBlank="1" showInputMessage="1" showErrorMessage="1" sqref="C25:C26" xr:uid="{00000000-0002-0000-0100-000000000000}">
      <formula1>$V$1:$V$2</formula1>
    </dataValidation>
  </dataValidations>
  <pageMargins left="0.7" right="0.7" top="0.75" bottom="0.75" header="0.3" footer="0.3"/>
  <pageSetup orientation="portrait" r:id="rId1"/>
  <ignoredErrors>
    <ignoredError sqref="C46:C47"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tabColor rgb="FF00B050"/>
  </sheetPr>
  <dimension ref="A1:F25"/>
  <sheetViews>
    <sheetView zoomScaleNormal="115" workbookViewId="0">
      <selection activeCell="E25" sqref="E25"/>
    </sheetView>
  </sheetViews>
  <sheetFormatPr defaultColWidth="8.7109375" defaultRowHeight="15" x14ac:dyDescent="0.25"/>
  <cols>
    <col min="2" max="2" width="37.5703125" customWidth="1"/>
    <col min="3" max="3" width="25.7109375" customWidth="1"/>
    <col min="5" max="5" width="40.7109375" bestFit="1" customWidth="1"/>
    <col min="6" max="6" width="25.7109375" customWidth="1"/>
  </cols>
  <sheetData>
    <row r="1" spans="1:6" ht="15.75" thickBot="1" x14ac:dyDescent="0.3">
      <c r="A1" s="57"/>
      <c r="B1" s="255" t="s">
        <v>160</v>
      </c>
      <c r="C1" s="255"/>
      <c r="D1" s="57"/>
      <c r="E1" s="255" t="s">
        <v>170</v>
      </c>
      <c r="F1" s="255"/>
    </row>
    <row r="2" spans="1:6" x14ac:dyDescent="0.25">
      <c r="B2" s="83" t="s">
        <v>61</v>
      </c>
      <c r="C2" s="84"/>
      <c r="E2" s="83" t="s">
        <v>61</v>
      </c>
      <c r="F2" s="84"/>
    </row>
    <row r="3" spans="1:6" x14ac:dyDescent="0.25">
      <c r="B3" s="85" t="s">
        <v>42</v>
      </c>
      <c r="C3" s="86" t="e">
        <f>'BUY ALL C-PACE SIR MODEL'!E25</f>
        <v>#DIV/0!</v>
      </c>
      <c r="E3" s="85" t="s">
        <v>42</v>
      </c>
      <c r="F3" s="86" t="e">
        <f>'NT C-PACE SIR MODEL'!E27</f>
        <v>#DIV/0!</v>
      </c>
    </row>
    <row r="4" spans="1:6" x14ac:dyDescent="0.25">
      <c r="B4" s="87" t="s">
        <v>43</v>
      </c>
      <c r="C4" s="88">
        <f>INPUTS!C53</f>
        <v>0</v>
      </c>
      <c r="E4" s="87" t="s">
        <v>43</v>
      </c>
      <c r="F4" s="88">
        <f>INPUTS!C53</f>
        <v>0</v>
      </c>
    </row>
    <row r="5" spans="1:6" x14ac:dyDescent="0.25">
      <c r="B5" s="85" t="s">
        <v>44</v>
      </c>
      <c r="C5" s="89">
        <f>INPUTS!C57</f>
        <v>0</v>
      </c>
      <c r="E5" s="85" t="s">
        <v>44</v>
      </c>
      <c r="F5" s="89">
        <f>INPUTS!C57</f>
        <v>0</v>
      </c>
    </row>
    <row r="6" spans="1:6" x14ac:dyDescent="0.25">
      <c r="B6" s="87" t="s">
        <v>45</v>
      </c>
      <c r="C6" s="88">
        <f>'BUY ALL C-PACE SIR MODEL'!E23</f>
        <v>0</v>
      </c>
      <c r="E6" s="87" t="s">
        <v>45</v>
      </c>
      <c r="F6" s="88">
        <f>'NT C-PACE SIR MODEL'!E25</f>
        <v>0</v>
      </c>
    </row>
    <row r="7" spans="1:6" x14ac:dyDescent="0.25">
      <c r="B7" s="85" t="s">
        <v>46</v>
      </c>
      <c r="C7" s="89">
        <f>'BUY ALL C-PACE SIR MODEL'!E24</f>
        <v>0</v>
      </c>
      <c r="E7" s="85" t="s">
        <v>46</v>
      </c>
      <c r="F7" s="89">
        <f>'NT C-PACE SIR MODEL'!E26</f>
        <v>0</v>
      </c>
    </row>
    <row r="8" spans="1:6" x14ac:dyDescent="0.25">
      <c r="B8" s="87" t="s">
        <v>47</v>
      </c>
      <c r="C8" s="90" t="e">
        <f>(C5-C9)/C5</f>
        <v>#DIV/0!</v>
      </c>
      <c r="E8" s="87" t="s">
        <v>47</v>
      </c>
      <c r="F8" s="90" t="e">
        <f>(F5-F9)/F5</f>
        <v>#DIV/0!</v>
      </c>
    </row>
    <row r="9" spans="1:6" x14ac:dyDescent="0.25">
      <c r="B9" s="85" t="s">
        <v>48</v>
      </c>
      <c r="C9" s="91">
        <f>INPUTS!C54</f>
        <v>0</v>
      </c>
      <c r="E9" s="85" t="s">
        <v>48</v>
      </c>
      <c r="F9" s="91">
        <f>INPUTS!C54</f>
        <v>0</v>
      </c>
    </row>
    <row r="10" spans="1:6" x14ac:dyDescent="0.25">
      <c r="B10" s="87" t="s">
        <v>49</v>
      </c>
      <c r="C10" s="92" t="e">
        <f>INPUTS!C62</f>
        <v>#N/A</v>
      </c>
      <c r="E10" s="87" t="s">
        <v>49</v>
      </c>
      <c r="F10" s="92" t="e">
        <f>INPUTS!C62</f>
        <v>#N/A</v>
      </c>
    </row>
    <row r="11" spans="1:6" ht="15.75" thickBot="1" x14ac:dyDescent="0.3">
      <c r="B11" s="93" t="s">
        <v>50</v>
      </c>
      <c r="C11" s="94">
        <f>INPUTS!C61</f>
        <v>0</v>
      </c>
      <c r="E11" s="93" t="s">
        <v>50</v>
      </c>
      <c r="F11" s="94">
        <f>INPUTS!C61</f>
        <v>0</v>
      </c>
    </row>
    <row r="12" spans="1:6" s="147" customFormat="1" ht="15.75" thickBot="1" x14ac:dyDescent="0.3">
      <c r="B12" s="145"/>
      <c r="C12" s="146"/>
      <c r="E12" s="145"/>
      <c r="F12" s="146"/>
    </row>
    <row r="13" spans="1:6" x14ac:dyDescent="0.25">
      <c r="B13" s="83" t="s">
        <v>100</v>
      </c>
      <c r="C13" s="84"/>
      <c r="E13" s="83" t="s">
        <v>100</v>
      </c>
      <c r="F13" s="208"/>
    </row>
    <row r="14" spans="1:6" x14ac:dyDescent="0.25">
      <c r="B14" s="85" t="s">
        <v>51</v>
      </c>
      <c r="C14" s="95">
        <f>INPUTS!C63</f>
        <v>0</v>
      </c>
      <c r="E14" s="85" t="s">
        <v>51</v>
      </c>
      <c r="F14" s="209">
        <f>INPUTS!C63</f>
        <v>0</v>
      </c>
    </row>
    <row r="15" spans="1:6" x14ac:dyDescent="0.25">
      <c r="B15" s="87" t="s">
        <v>52</v>
      </c>
      <c r="C15" s="88">
        <f>C4</f>
        <v>0</v>
      </c>
      <c r="E15" s="87" t="s">
        <v>52</v>
      </c>
      <c r="F15" s="210">
        <f>F4</f>
        <v>0</v>
      </c>
    </row>
    <row r="16" spans="1:6" x14ac:dyDescent="0.25">
      <c r="B16" s="85" t="s">
        <v>93</v>
      </c>
      <c r="C16" s="89">
        <f>INPUTS!C56</f>
        <v>0</v>
      </c>
      <c r="E16" s="85" t="s">
        <v>93</v>
      </c>
      <c r="F16" s="211">
        <f>INPUTS!C56</f>
        <v>0</v>
      </c>
    </row>
    <row r="17" spans="2:6" x14ac:dyDescent="0.25">
      <c r="B17" s="87" t="s">
        <v>53</v>
      </c>
      <c r="C17" s="88">
        <f>C5</f>
        <v>0</v>
      </c>
      <c r="E17" s="87" t="s">
        <v>53</v>
      </c>
      <c r="F17" s="210">
        <f>F5</f>
        <v>0</v>
      </c>
    </row>
    <row r="18" spans="2:6" x14ac:dyDescent="0.25">
      <c r="B18" s="96" t="s">
        <v>161</v>
      </c>
      <c r="C18" s="95">
        <f>'SUMMARY OF PV MEASURE'!$B$3</f>
        <v>0</v>
      </c>
      <c r="E18" s="96" t="s">
        <v>161</v>
      </c>
      <c r="F18" s="209">
        <f>'SUMMARY OF PV MEASURE'!$B$3</f>
        <v>0</v>
      </c>
    </row>
    <row r="19" spans="2:6" ht="24" x14ac:dyDescent="0.25">
      <c r="B19" s="97" t="s">
        <v>162</v>
      </c>
      <c r="C19" s="98">
        <f>C18*3413/1000000</f>
        <v>0</v>
      </c>
      <c r="E19" s="97" t="s">
        <v>162</v>
      </c>
      <c r="F19" s="212">
        <f>F18*3413/1000000</f>
        <v>0</v>
      </c>
    </row>
    <row r="20" spans="2:6" x14ac:dyDescent="0.25">
      <c r="B20" s="96" t="s">
        <v>163</v>
      </c>
      <c r="C20" s="95">
        <f>SUM('SUMMARY OF PV MEASURE'!$J$3:$AH$3)*3413/1000000</f>
        <v>0</v>
      </c>
      <c r="E20" s="96" t="s">
        <v>163</v>
      </c>
      <c r="F20" s="209">
        <f>SUM('SUMMARY OF PV MEASURE'!$J$3:$AH$3)*3413/1000000</f>
        <v>0</v>
      </c>
    </row>
    <row r="21" spans="2:6" x14ac:dyDescent="0.25">
      <c r="B21" s="97" t="s">
        <v>165</v>
      </c>
      <c r="C21" s="99">
        <f>'BUY ALL C-PACE SIR MODEL'!E8</f>
        <v>0</v>
      </c>
      <c r="E21" s="97" t="s">
        <v>166</v>
      </c>
      <c r="F21" s="213">
        <f>SUM('NT C-PACE SIR MODEL'!E10:X10)</f>
        <v>0</v>
      </c>
    </row>
    <row r="22" spans="2:6" ht="24" x14ac:dyDescent="0.25">
      <c r="B22" s="218" t="s">
        <v>164</v>
      </c>
      <c r="C22" s="219">
        <f>SUM('BUY ALL C-PACE SIR MODEL'!E8:X8)</f>
        <v>0</v>
      </c>
      <c r="E22" s="215" t="s">
        <v>172</v>
      </c>
      <c r="F22" s="217">
        <f>SUM('NT C-PACE SIR MODEL'!$E$9:$X$9)</f>
        <v>0</v>
      </c>
    </row>
    <row r="23" spans="2:6" ht="24" x14ac:dyDescent="0.25">
      <c r="B23" s="97" t="s">
        <v>54</v>
      </c>
      <c r="C23" s="99">
        <f>'BUY ALL C-PACE SIR MODEL'!E10</f>
        <v>0</v>
      </c>
      <c r="E23" s="97" t="s">
        <v>167</v>
      </c>
      <c r="F23" s="213">
        <f>F21+F22</f>
        <v>0</v>
      </c>
    </row>
    <row r="24" spans="2:6" ht="15.75" thickBot="1" x14ac:dyDescent="0.3">
      <c r="B24" s="199" t="s">
        <v>152</v>
      </c>
      <c r="C24" s="200">
        <f>'BUY ALL C-PACE SIR MODEL'!E9</f>
        <v>0</v>
      </c>
      <c r="E24" s="215" t="s">
        <v>54</v>
      </c>
      <c r="F24" s="216">
        <f>'NT C-PACE SIR MODEL'!E12</f>
        <v>0</v>
      </c>
    </row>
    <row r="25" spans="2:6" ht="15.75" thickBot="1" x14ac:dyDescent="0.3">
      <c r="E25" s="157" t="s">
        <v>152</v>
      </c>
      <c r="F25" s="214">
        <f>'NT C-PACE SIR MODEL'!E11</f>
        <v>0</v>
      </c>
    </row>
  </sheetData>
  <mergeCells count="2">
    <mergeCell ref="B1:C1"/>
    <mergeCell ref="E1:F1"/>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2CB2E-9DA0-4361-8481-2A05A163A5D7}">
  <sheetPr codeName="Sheet5">
    <tabColor rgb="FFFFFF66"/>
    <pageSetUpPr fitToPage="1"/>
  </sheetPr>
  <dimension ref="B1:AC33"/>
  <sheetViews>
    <sheetView zoomScale="80" zoomScaleNormal="80" workbookViewId="0">
      <selection activeCell="J49" sqref="J49"/>
    </sheetView>
  </sheetViews>
  <sheetFormatPr defaultColWidth="9.28515625" defaultRowHeight="15" x14ac:dyDescent="0.25"/>
  <cols>
    <col min="1" max="1" width="2.7109375" customWidth="1"/>
    <col min="2" max="2" width="36.42578125" customWidth="1"/>
    <col min="3" max="3" width="14.42578125" customWidth="1"/>
    <col min="5" max="5" width="11.7109375" customWidth="1"/>
    <col min="6" max="6" width="11.42578125" customWidth="1"/>
    <col min="7" max="7" width="11.28515625" customWidth="1"/>
    <col min="8" max="8" width="11.7109375" customWidth="1"/>
    <col min="9" max="10" width="11.28515625" customWidth="1"/>
    <col min="11" max="11" width="11.42578125" customWidth="1"/>
    <col min="12" max="12" width="10.42578125" customWidth="1"/>
    <col min="13" max="15" width="11.42578125" customWidth="1"/>
    <col min="16" max="17" width="11.7109375" customWidth="1"/>
    <col min="18" max="18" width="11.42578125" customWidth="1"/>
    <col min="19" max="19" width="11.7109375" customWidth="1"/>
    <col min="20" max="21" width="11.42578125" customWidth="1"/>
    <col min="22" max="29" width="11.28515625" customWidth="1"/>
  </cols>
  <sheetData>
    <row r="1" spans="2:29" ht="18.75" x14ac:dyDescent="0.3">
      <c r="B1" s="5" t="s">
        <v>101</v>
      </c>
    </row>
    <row r="2" spans="2:29" ht="18" customHeight="1" thickBot="1" x14ac:dyDescent="0.3">
      <c r="E2" s="31"/>
      <c r="L2" s="29"/>
    </row>
    <row r="3" spans="2:29" x14ac:dyDescent="0.25">
      <c r="B3" s="34"/>
      <c r="C3" s="35"/>
      <c r="D3" s="35"/>
      <c r="E3" s="74">
        <v>2023</v>
      </c>
      <c r="F3" s="74">
        <f>SUM(E3+1)</f>
        <v>2024</v>
      </c>
      <c r="G3" s="74">
        <f t="shared" ref="G3:AC3" si="0">SUM(F3+1)</f>
        <v>2025</v>
      </c>
      <c r="H3" s="74">
        <f t="shared" si="0"/>
        <v>2026</v>
      </c>
      <c r="I3" s="74">
        <f t="shared" si="0"/>
        <v>2027</v>
      </c>
      <c r="J3" s="74">
        <f t="shared" si="0"/>
        <v>2028</v>
      </c>
      <c r="K3" s="74">
        <f t="shared" si="0"/>
        <v>2029</v>
      </c>
      <c r="L3" s="74">
        <f t="shared" si="0"/>
        <v>2030</v>
      </c>
      <c r="M3" s="74">
        <f t="shared" si="0"/>
        <v>2031</v>
      </c>
      <c r="N3" s="74">
        <f t="shared" si="0"/>
        <v>2032</v>
      </c>
      <c r="O3" s="74">
        <f t="shared" si="0"/>
        <v>2033</v>
      </c>
      <c r="P3" s="74">
        <f t="shared" si="0"/>
        <v>2034</v>
      </c>
      <c r="Q3" s="74">
        <f t="shared" si="0"/>
        <v>2035</v>
      </c>
      <c r="R3" s="74">
        <f t="shared" si="0"/>
        <v>2036</v>
      </c>
      <c r="S3" s="74">
        <f t="shared" si="0"/>
        <v>2037</v>
      </c>
      <c r="T3" s="74">
        <f t="shared" si="0"/>
        <v>2038</v>
      </c>
      <c r="U3" s="74">
        <f t="shared" si="0"/>
        <v>2039</v>
      </c>
      <c r="V3" s="74">
        <f t="shared" si="0"/>
        <v>2040</v>
      </c>
      <c r="W3" s="74">
        <f t="shared" si="0"/>
        <v>2041</v>
      </c>
      <c r="X3" s="74">
        <f t="shared" si="0"/>
        <v>2042</v>
      </c>
      <c r="Y3" s="74">
        <f t="shared" si="0"/>
        <v>2043</v>
      </c>
      <c r="Z3" s="74">
        <f t="shared" si="0"/>
        <v>2044</v>
      </c>
      <c r="AA3" s="74">
        <f t="shared" si="0"/>
        <v>2045</v>
      </c>
      <c r="AB3" s="74">
        <f t="shared" si="0"/>
        <v>2046</v>
      </c>
      <c r="AC3" s="101">
        <f t="shared" si="0"/>
        <v>2047</v>
      </c>
    </row>
    <row r="4" spans="2:29" x14ac:dyDescent="0.25">
      <c r="B4" s="270" t="s">
        <v>3</v>
      </c>
      <c r="C4" s="271"/>
      <c r="D4" s="1"/>
      <c r="E4" s="39">
        <v>1</v>
      </c>
      <c r="F4" s="39">
        <v>2</v>
      </c>
      <c r="G4" s="39">
        <v>3</v>
      </c>
      <c r="H4" s="39">
        <v>4</v>
      </c>
      <c r="I4" s="39">
        <v>5</v>
      </c>
      <c r="J4" s="39">
        <v>6</v>
      </c>
      <c r="K4" s="39">
        <v>7</v>
      </c>
      <c r="L4" s="39">
        <v>8</v>
      </c>
      <c r="M4" s="39">
        <v>9</v>
      </c>
      <c r="N4" s="39">
        <v>10</v>
      </c>
      <c r="O4" s="39">
        <v>11</v>
      </c>
      <c r="P4" s="39">
        <v>12</v>
      </c>
      <c r="Q4" s="39">
        <v>13</v>
      </c>
      <c r="R4" s="39">
        <v>14</v>
      </c>
      <c r="S4" s="39">
        <v>15</v>
      </c>
      <c r="T4" s="39">
        <v>16</v>
      </c>
      <c r="U4" s="39">
        <v>17</v>
      </c>
      <c r="V4" s="39">
        <v>18</v>
      </c>
      <c r="W4" s="39">
        <v>19</v>
      </c>
      <c r="X4" s="39">
        <v>20</v>
      </c>
      <c r="Y4" s="39">
        <v>21</v>
      </c>
      <c r="Z4" s="39">
        <v>22</v>
      </c>
      <c r="AA4" s="39">
        <v>23</v>
      </c>
      <c r="AB4" s="39">
        <v>24</v>
      </c>
      <c r="AC4" s="75">
        <v>25</v>
      </c>
    </row>
    <row r="5" spans="2:29" x14ac:dyDescent="0.25">
      <c r="B5" s="195" t="s">
        <v>82</v>
      </c>
      <c r="C5" s="196"/>
      <c r="D5" s="196"/>
      <c r="E5" s="40">
        <f>INPUTS!$C$13</f>
        <v>0</v>
      </c>
      <c r="F5" s="40">
        <f>INPUTS!$C$13</f>
        <v>0</v>
      </c>
      <c r="G5" s="40">
        <f>INPUTS!$C$13</f>
        <v>0</v>
      </c>
      <c r="H5" s="40">
        <f>INPUTS!$C$13</f>
        <v>0</v>
      </c>
      <c r="I5" s="40">
        <f>INPUTS!$C$13</f>
        <v>0</v>
      </c>
      <c r="J5" s="40">
        <f>INPUTS!$C$13</f>
        <v>0</v>
      </c>
      <c r="K5" s="40">
        <f>INPUTS!$C$13</f>
        <v>0</v>
      </c>
      <c r="L5" s="40">
        <f>INPUTS!$C$13</f>
        <v>0</v>
      </c>
      <c r="M5" s="40">
        <f>INPUTS!$C$13</f>
        <v>0</v>
      </c>
      <c r="N5" s="40">
        <f>INPUTS!$C$13</f>
        <v>0</v>
      </c>
      <c r="O5" s="40">
        <f>INPUTS!$C$13</f>
        <v>0</v>
      </c>
      <c r="P5" s="40">
        <f>INPUTS!$C$13</f>
        <v>0</v>
      </c>
      <c r="Q5" s="40">
        <f>INPUTS!$C$13</f>
        <v>0</v>
      </c>
      <c r="R5" s="40">
        <f>INPUTS!$C$13</f>
        <v>0</v>
      </c>
      <c r="S5" s="40">
        <f>INPUTS!$C$13</f>
        <v>0</v>
      </c>
      <c r="T5" s="40">
        <f>INPUTS!$C$13</f>
        <v>0</v>
      </c>
      <c r="U5" s="40">
        <f>INPUTS!$C$13</f>
        <v>0</v>
      </c>
      <c r="V5" s="40">
        <f>INPUTS!$C$13</f>
        <v>0</v>
      </c>
      <c r="W5" s="40">
        <f>INPUTS!$C$13</f>
        <v>0</v>
      </c>
      <c r="X5" s="40">
        <f>INPUTS!$C$13</f>
        <v>0</v>
      </c>
      <c r="Y5" s="40"/>
      <c r="Z5" s="40"/>
      <c r="AA5" s="40"/>
      <c r="AB5" s="40"/>
      <c r="AC5" s="76"/>
    </row>
    <row r="6" spans="2:29" x14ac:dyDescent="0.25">
      <c r="B6" s="272" t="s">
        <v>55</v>
      </c>
      <c r="C6" s="273"/>
      <c r="D6" s="273"/>
      <c r="E6" s="40">
        <f>'SUMMARY OF PV MEASURE'!J3</f>
        <v>0</v>
      </c>
      <c r="F6" s="40">
        <f>'SUMMARY OF PV MEASURE'!K3</f>
        <v>0</v>
      </c>
      <c r="G6" s="40">
        <f>'SUMMARY OF PV MEASURE'!L3</f>
        <v>0</v>
      </c>
      <c r="H6" s="40">
        <f>'SUMMARY OF PV MEASURE'!M3</f>
        <v>0</v>
      </c>
      <c r="I6" s="40">
        <f>'SUMMARY OF PV MEASURE'!N3</f>
        <v>0</v>
      </c>
      <c r="J6" s="40">
        <f>'SUMMARY OF PV MEASURE'!O3</f>
        <v>0</v>
      </c>
      <c r="K6" s="40">
        <f>'SUMMARY OF PV MEASURE'!P3</f>
        <v>0</v>
      </c>
      <c r="L6" s="40">
        <f>'SUMMARY OF PV MEASURE'!Q3</f>
        <v>0</v>
      </c>
      <c r="M6" s="40">
        <f>'SUMMARY OF PV MEASURE'!R3</f>
        <v>0</v>
      </c>
      <c r="N6" s="40">
        <f>'SUMMARY OF PV MEASURE'!S3</f>
        <v>0</v>
      </c>
      <c r="O6" s="40">
        <f>'SUMMARY OF PV MEASURE'!T3</f>
        <v>0</v>
      </c>
      <c r="P6" s="40">
        <f>'SUMMARY OF PV MEASURE'!U3</f>
        <v>0</v>
      </c>
      <c r="Q6" s="40">
        <f>'SUMMARY OF PV MEASURE'!V3</f>
        <v>0</v>
      </c>
      <c r="R6" s="40">
        <f>'SUMMARY OF PV MEASURE'!W3</f>
        <v>0</v>
      </c>
      <c r="S6" s="40">
        <f>'SUMMARY OF PV MEASURE'!X3</f>
        <v>0</v>
      </c>
      <c r="T6" s="40">
        <f>'SUMMARY OF PV MEASURE'!Y3</f>
        <v>0</v>
      </c>
      <c r="U6" s="40">
        <f>'SUMMARY OF PV MEASURE'!Z3</f>
        <v>0</v>
      </c>
      <c r="V6" s="40">
        <f>'SUMMARY OF PV MEASURE'!AA3</f>
        <v>0</v>
      </c>
      <c r="W6" s="40">
        <f>'SUMMARY OF PV MEASURE'!AB3</f>
        <v>0</v>
      </c>
      <c r="X6" s="40">
        <f>'SUMMARY OF PV MEASURE'!AC3</f>
        <v>0</v>
      </c>
      <c r="Y6" s="40"/>
      <c r="Z6" s="40"/>
      <c r="AA6" s="40"/>
      <c r="AB6" s="40"/>
      <c r="AC6" s="76"/>
    </row>
    <row r="7" spans="2:29" x14ac:dyDescent="0.25">
      <c r="B7" s="274" t="s">
        <v>10</v>
      </c>
      <c r="C7" s="275"/>
      <c r="D7" s="275"/>
      <c r="E7" s="42"/>
      <c r="F7" s="42"/>
      <c r="G7" s="42"/>
      <c r="H7" s="42"/>
      <c r="I7" s="42"/>
      <c r="J7" s="42"/>
      <c r="K7" s="42"/>
      <c r="L7" s="42"/>
      <c r="M7" s="42"/>
      <c r="N7" s="42"/>
      <c r="O7" s="42"/>
      <c r="P7" s="42"/>
      <c r="Q7" s="42"/>
      <c r="R7" s="42"/>
      <c r="S7" s="42"/>
      <c r="T7" s="42"/>
      <c r="U7" s="42"/>
      <c r="V7" s="42"/>
      <c r="W7" s="42"/>
      <c r="X7" s="42"/>
      <c r="Y7" s="42"/>
      <c r="Z7" s="42"/>
      <c r="AA7" s="42"/>
      <c r="AB7" s="42"/>
      <c r="AC7" s="78"/>
    </row>
    <row r="8" spans="2:29" x14ac:dyDescent="0.25">
      <c r="B8" s="276" t="s">
        <v>159</v>
      </c>
      <c r="C8" s="277"/>
      <c r="D8" s="277"/>
      <c r="E8" s="2">
        <f>E6*INPUTS!$C$38</f>
        <v>0</v>
      </c>
      <c r="F8" s="2">
        <f>F6*INPUTS!$C$38</f>
        <v>0</v>
      </c>
      <c r="G8" s="2">
        <f>G6*INPUTS!$C$38</f>
        <v>0</v>
      </c>
      <c r="H8" s="2">
        <f>H6*INPUTS!$C$38</f>
        <v>0</v>
      </c>
      <c r="I8" s="2">
        <f>I6*INPUTS!$C$38</f>
        <v>0</v>
      </c>
      <c r="J8" s="2">
        <f>J6*INPUTS!$C$38</f>
        <v>0</v>
      </c>
      <c r="K8" s="2">
        <f>K6*INPUTS!$C$38</f>
        <v>0</v>
      </c>
      <c r="L8" s="2">
        <f>L6*INPUTS!$C$38</f>
        <v>0</v>
      </c>
      <c r="M8" s="2">
        <f>M6*INPUTS!$C$38</f>
        <v>0</v>
      </c>
      <c r="N8" s="2">
        <f>N6*INPUTS!$C$38</f>
        <v>0</v>
      </c>
      <c r="O8" s="2">
        <f>O6*INPUTS!$C$38</f>
        <v>0</v>
      </c>
      <c r="P8" s="2">
        <f>P6*INPUTS!$C$38</f>
        <v>0</v>
      </c>
      <c r="Q8" s="2">
        <f>Q6*INPUTS!$C$38</f>
        <v>0</v>
      </c>
      <c r="R8" s="2">
        <f>R6*INPUTS!$C$38</f>
        <v>0</v>
      </c>
      <c r="S8" s="2">
        <f>S6*INPUTS!$C$38</f>
        <v>0</v>
      </c>
      <c r="T8" s="2">
        <f>T6*INPUTS!$C$38</f>
        <v>0</v>
      </c>
      <c r="U8" s="2">
        <f>U6*INPUTS!$C$38</f>
        <v>0</v>
      </c>
      <c r="V8" s="2">
        <f>V6*INPUTS!$C$38</f>
        <v>0</v>
      </c>
      <c r="W8" s="2">
        <f>W6*INPUTS!$C$38</f>
        <v>0</v>
      </c>
      <c r="X8" s="2">
        <f>X6*INPUTS!$C$38</f>
        <v>0</v>
      </c>
      <c r="Y8" s="2"/>
      <c r="Z8" s="2"/>
      <c r="AA8" s="2"/>
      <c r="AB8" s="2"/>
      <c r="AC8" s="2"/>
    </row>
    <row r="9" spans="2:29" x14ac:dyDescent="0.25">
      <c r="B9" s="276" t="s">
        <v>38</v>
      </c>
      <c r="C9" s="277"/>
      <c r="D9" s="277"/>
      <c r="E9" s="2">
        <f>SUM('TAX BENEFITS'!D11:I11)</f>
        <v>0</v>
      </c>
      <c r="F9" s="2"/>
      <c r="G9" s="2"/>
      <c r="H9" s="2"/>
      <c r="I9" s="2"/>
      <c r="J9" s="2"/>
      <c r="K9" s="2"/>
      <c r="L9" s="2"/>
      <c r="M9" s="2"/>
      <c r="N9" s="2"/>
      <c r="O9" s="2"/>
      <c r="P9" s="2"/>
      <c r="Q9" s="2"/>
      <c r="R9" s="2"/>
      <c r="S9" s="2"/>
      <c r="T9" s="2"/>
      <c r="U9" s="2"/>
      <c r="V9" s="2"/>
      <c r="W9" s="2"/>
      <c r="X9" s="2"/>
      <c r="Y9" s="32"/>
      <c r="Z9" s="2"/>
      <c r="AA9" s="2"/>
      <c r="AB9" s="2"/>
      <c r="AC9" s="79"/>
    </row>
    <row r="10" spans="2:29" x14ac:dyDescent="0.25">
      <c r="B10" s="197" t="s">
        <v>37</v>
      </c>
      <c r="C10" s="198"/>
      <c r="D10" s="198"/>
      <c r="E10" s="2">
        <f>'TAX BENEFITS'!C4</f>
        <v>0</v>
      </c>
      <c r="F10" s="2"/>
      <c r="G10" s="2"/>
      <c r="H10" s="2"/>
      <c r="I10" s="2"/>
      <c r="J10" s="2"/>
      <c r="K10" s="2"/>
      <c r="L10" s="2"/>
      <c r="M10" s="2"/>
      <c r="N10" s="2"/>
      <c r="O10" s="2"/>
      <c r="P10" s="2"/>
      <c r="Q10" s="2"/>
      <c r="R10" s="2"/>
      <c r="S10" s="2"/>
      <c r="T10" s="2"/>
      <c r="U10" s="2"/>
      <c r="V10" s="2"/>
      <c r="W10" s="2"/>
      <c r="X10" s="2"/>
      <c r="Y10" s="2"/>
      <c r="Z10" s="2"/>
      <c r="AA10" s="2"/>
      <c r="AB10" s="2"/>
      <c r="AC10" s="79"/>
    </row>
    <row r="11" spans="2:29" x14ac:dyDescent="0.25">
      <c r="B11" s="276"/>
      <c r="C11" s="277"/>
      <c r="D11" s="277"/>
      <c r="E11" s="43"/>
      <c r="F11" s="43"/>
      <c r="G11" s="43"/>
      <c r="H11" s="43"/>
      <c r="I11" s="43"/>
      <c r="J11" s="43"/>
      <c r="K11" s="43"/>
      <c r="L11" s="43"/>
      <c r="M11" s="43"/>
      <c r="N11" s="43"/>
      <c r="O11" s="43"/>
      <c r="P11" s="43"/>
      <c r="Q11" s="43"/>
      <c r="R11" s="43"/>
      <c r="S11" s="43"/>
      <c r="T11" s="43"/>
      <c r="U11" s="43"/>
      <c r="V11" s="43"/>
      <c r="W11" s="43" t="s">
        <v>2</v>
      </c>
      <c r="X11" s="43"/>
      <c r="Y11" s="43"/>
      <c r="Z11" s="43"/>
      <c r="AA11" s="43"/>
      <c r="AB11" s="43"/>
      <c r="AC11" s="80"/>
    </row>
    <row r="12" spans="2:29" x14ac:dyDescent="0.25">
      <c r="B12" s="281" t="s">
        <v>8</v>
      </c>
      <c r="C12" s="282"/>
      <c r="D12" s="282"/>
      <c r="E12" s="2">
        <f t="shared" ref="E12:X12" si="1">SUM(E8:E10)</f>
        <v>0</v>
      </c>
      <c r="F12" s="2">
        <f t="shared" si="1"/>
        <v>0</v>
      </c>
      <c r="G12" s="2">
        <f t="shared" si="1"/>
        <v>0</v>
      </c>
      <c r="H12" s="2">
        <f t="shared" si="1"/>
        <v>0</v>
      </c>
      <c r="I12" s="2">
        <f t="shared" si="1"/>
        <v>0</v>
      </c>
      <c r="J12" s="2">
        <f t="shared" si="1"/>
        <v>0</v>
      </c>
      <c r="K12" s="2">
        <f t="shared" si="1"/>
        <v>0</v>
      </c>
      <c r="L12" s="2">
        <f t="shared" si="1"/>
        <v>0</v>
      </c>
      <c r="M12" s="2">
        <f t="shared" si="1"/>
        <v>0</v>
      </c>
      <c r="N12" s="2">
        <f t="shared" si="1"/>
        <v>0</v>
      </c>
      <c r="O12" s="2">
        <f t="shared" si="1"/>
        <v>0</v>
      </c>
      <c r="P12" s="2">
        <f t="shared" si="1"/>
        <v>0</v>
      </c>
      <c r="Q12" s="2">
        <f t="shared" si="1"/>
        <v>0</v>
      </c>
      <c r="R12" s="2">
        <f t="shared" si="1"/>
        <v>0</v>
      </c>
      <c r="S12" s="2">
        <f t="shared" si="1"/>
        <v>0</v>
      </c>
      <c r="T12" s="2">
        <f t="shared" si="1"/>
        <v>0</v>
      </c>
      <c r="U12" s="2">
        <f t="shared" si="1"/>
        <v>0</v>
      </c>
      <c r="V12" s="2">
        <f t="shared" si="1"/>
        <v>0</v>
      </c>
      <c r="W12" s="2">
        <f t="shared" si="1"/>
        <v>0</v>
      </c>
      <c r="X12" s="2">
        <f t="shared" si="1"/>
        <v>0</v>
      </c>
      <c r="Y12" s="2"/>
      <c r="Z12" s="2"/>
      <c r="AA12" s="2"/>
      <c r="AB12" s="2"/>
      <c r="AC12" s="79"/>
    </row>
    <row r="13" spans="2:29" x14ac:dyDescent="0.25">
      <c r="B13" s="197"/>
      <c r="C13" s="198"/>
      <c r="D13" s="198"/>
      <c r="E13" s="44"/>
      <c r="F13" s="44"/>
      <c r="G13" s="44"/>
      <c r="H13" s="44"/>
      <c r="I13" s="44"/>
      <c r="J13" s="44"/>
      <c r="K13" s="44"/>
      <c r="L13" s="44"/>
      <c r="M13" s="44"/>
      <c r="N13" s="44"/>
      <c r="O13" s="44"/>
      <c r="P13" s="44"/>
      <c r="Q13" s="44"/>
      <c r="R13" s="44"/>
      <c r="S13" s="44"/>
      <c r="T13" s="44"/>
      <c r="U13" s="44"/>
      <c r="V13" s="44"/>
      <c r="W13" s="44"/>
      <c r="X13" s="44"/>
      <c r="Y13" s="44"/>
      <c r="Z13" s="44"/>
      <c r="AA13" s="44"/>
      <c r="AB13" s="44"/>
      <c r="AC13" s="81"/>
    </row>
    <row r="14" spans="2:29" x14ac:dyDescent="0.25">
      <c r="B14" s="283" t="s">
        <v>4</v>
      </c>
      <c r="C14" s="284"/>
      <c r="D14" s="284"/>
      <c r="E14" s="42"/>
      <c r="F14" s="42"/>
      <c r="G14" s="42"/>
      <c r="H14" s="42"/>
      <c r="I14" s="42"/>
      <c r="J14" s="42"/>
      <c r="K14" s="42"/>
      <c r="L14" s="42"/>
      <c r="M14" s="42"/>
      <c r="N14" s="42"/>
      <c r="O14" s="42"/>
      <c r="P14" s="42"/>
      <c r="Q14" s="42"/>
      <c r="R14" s="42"/>
      <c r="S14" s="42"/>
      <c r="T14" s="42"/>
      <c r="U14" s="42"/>
      <c r="V14" s="42"/>
      <c r="W14" s="42"/>
      <c r="X14" s="42"/>
      <c r="Y14" s="42"/>
      <c r="Z14" s="42"/>
      <c r="AA14" s="42"/>
      <c r="AB14" s="42"/>
      <c r="AC14" s="78"/>
    </row>
    <row r="15" spans="2:29" x14ac:dyDescent="0.25">
      <c r="B15" s="285" t="s">
        <v>39</v>
      </c>
      <c r="C15" s="286"/>
      <c r="D15" s="286"/>
      <c r="E15" s="3">
        <f>IF(E4&lt;=INPUTS!$C$61,PMT(INPUTS!$C$62/2,INPUTS!$C$61*2,INPUTS!$C$57)*2,0)</f>
        <v>0</v>
      </c>
      <c r="F15" s="3">
        <f>IF(F4&lt;=INPUTS!$C$61,PMT(INPUTS!$C$62/2,INPUTS!$C$61*2,INPUTS!$C$57)*2,0)</f>
        <v>0</v>
      </c>
      <c r="G15" s="3">
        <f>IF(G4&lt;=INPUTS!$C$61,PMT(INPUTS!$C$62/2,INPUTS!$C$61*2,INPUTS!$C$57)*2,0)</f>
        <v>0</v>
      </c>
      <c r="H15" s="3">
        <f>IF(H4&lt;=INPUTS!$C$61,PMT(INPUTS!$C$62/2,INPUTS!$C$61*2,INPUTS!$C$57)*2,0)</f>
        <v>0</v>
      </c>
      <c r="I15" s="3">
        <f>IF(I4&lt;=INPUTS!$C$61,PMT(INPUTS!$C$62/2,INPUTS!$C$61*2,INPUTS!$C$57)*2,0)</f>
        <v>0</v>
      </c>
      <c r="J15" s="3">
        <f>IF(J4&lt;=INPUTS!$C$61,PMT(INPUTS!$C$62/2,INPUTS!$C$61*2,INPUTS!$C$57)*2,0)</f>
        <v>0</v>
      </c>
      <c r="K15" s="3">
        <f>IF(K4&lt;=INPUTS!$C$61,PMT(INPUTS!$C$62/2,INPUTS!$C$61*2,INPUTS!$C$57)*2,0)</f>
        <v>0</v>
      </c>
      <c r="L15" s="3">
        <f>IF(L4&lt;=INPUTS!$C$61,PMT(INPUTS!$C$62/2,INPUTS!$C$61*2,INPUTS!$C$57)*2,0)</f>
        <v>0</v>
      </c>
      <c r="M15" s="3">
        <f>IF(M4&lt;=INPUTS!$C$61,PMT(INPUTS!$C$62/2,INPUTS!$C$61*2,INPUTS!$C$57)*2,0)</f>
        <v>0</v>
      </c>
      <c r="N15" s="3">
        <f>IF(N4&lt;=INPUTS!$C$61,PMT(INPUTS!$C$62/2,INPUTS!$C$61*2,INPUTS!$C$57)*2,0)</f>
        <v>0</v>
      </c>
      <c r="O15" s="3">
        <f>IF(O4&lt;=INPUTS!$C$61,PMT(INPUTS!$C$62/2,INPUTS!$C$61*2,INPUTS!$C$57)*2,0)</f>
        <v>0</v>
      </c>
      <c r="P15" s="3">
        <f>IF(P4&lt;=INPUTS!$C$61,PMT(INPUTS!$C$62/2,INPUTS!$C$61*2,INPUTS!$C$57)*2,0)</f>
        <v>0</v>
      </c>
      <c r="Q15" s="3">
        <f>IF(Q4&lt;=INPUTS!$C$61,PMT(INPUTS!$C$62/2,INPUTS!$C$61*2,INPUTS!$C$57)*2,0)</f>
        <v>0</v>
      </c>
      <c r="R15" s="3">
        <f>IF(R4&lt;=INPUTS!$C$61,PMT(INPUTS!$C$62/2,INPUTS!$C$61*2,INPUTS!$C$57)*2,0)</f>
        <v>0</v>
      </c>
      <c r="S15" s="3">
        <f>IF(S4&lt;=INPUTS!$C$61,PMT(INPUTS!$C$62/2,INPUTS!$C$61*2,INPUTS!$C$57)*2,0)</f>
        <v>0</v>
      </c>
      <c r="T15" s="3">
        <f>IF(T4&lt;=INPUTS!$C$61,PMT(INPUTS!$C$62/2,INPUTS!$C$61*2,INPUTS!$C$57)*2,0)</f>
        <v>0</v>
      </c>
      <c r="U15" s="3">
        <f>IF(U4&lt;=INPUTS!$C$61,PMT(INPUTS!$C$62/2,INPUTS!$C$61*2,INPUTS!$C$57)*2,0)</f>
        <v>0</v>
      </c>
      <c r="V15" s="3">
        <f>IF(V4&lt;=INPUTS!$C$61,PMT(INPUTS!$C$62/2,INPUTS!$C$61*2,INPUTS!$C$57)*2,0)</f>
        <v>0</v>
      </c>
      <c r="W15" s="3">
        <f>IF(W4&lt;=INPUTS!$C$61,PMT(INPUTS!$C$62/2,INPUTS!$C$61*2,INPUTS!$C$57)*2,0)</f>
        <v>0</v>
      </c>
      <c r="X15" s="3">
        <f>IF(X4&lt;=INPUTS!$C$61,PMT(INPUTS!$C$62/2,INPUTS!$C$61*2,INPUTS!$C$57)*2,0)</f>
        <v>0</v>
      </c>
      <c r="Y15" s="3">
        <f>IF(Y4&lt;=INPUTS!$C$61,PMT(INPUTS!$C$62/2,INPUTS!$C$61*2,INPUTS!$C$57)*2,0)</f>
        <v>0</v>
      </c>
      <c r="Z15" s="3">
        <f>IF(Z4&lt;=INPUTS!$C$61,PMT(INPUTS!$C$62/2,INPUTS!$C$61*2,INPUTS!$C$57)*2,0)</f>
        <v>0</v>
      </c>
      <c r="AA15" s="3">
        <f>IF(AA4&lt;=INPUTS!$C$61,PMT(INPUTS!$C$62/2,INPUTS!$C$61*2,INPUTS!$C$57)*2,0)</f>
        <v>0</v>
      </c>
      <c r="AB15" s="3">
        <f>IF(AB4&lt;=INPUTS!$C$61,PMT(INPUTS!$C$62/2,INPUTS!$C$61*2,INPUTS!$C$57)*2,0)</f>
        <v>0</v>
      </c>
      <c r="AC15" s="3">
        <f>IF(AC4&lt;=INPUTS!$C$61,PMT(INPUTS!$C$62/2,INPUTS!$C$61*2,INPUTS!$C$57)*2,0)</f>
        <v>0</v>
      </c>
    </row>
    <row r="16" spans="2:29" x14ac:dyDescent="0.25">
      <c r="B16" s="295" t="s">
        <v>63</v>
      </c>
      <c r="C16" s="296"/>
      <c r="D16" s="296"/>
      <c r="E16" s="159">
        <v>0</v>
      </c>
      <c r="F16" s="159">
        <v>0</v>
      </c>
      <c r="G16" s="159">
        <v>0</v>
      </c>
      <c r="H16" s="159">
        <v>0</v>
      </c>
      <c r="I16" s="159">
        <v>0</v>
      </c>
      <c r="J16" s="159">
        <v>0</v>
      </c>
      <c r="K16" s="159">
        <v>0</v>
      </c>
      <c r="L16" s="159">
        <v>0</v>
      </c>
      <c r="M16" s="159">
        <v>0</v>
      </c>
      <c r="N16" s="159">
        <v>0</v>
      </c>
      <c r="O16" s="159">
        <v>0</v>
      </c>
      <c r="P16" s="159">
        <v>0</v>
      </c>
      <c r="Q16" s="159">
        <v>0</v>
      </c>
      <c r="R16" s="159">
        <v>0</v>
      </c>
      <c r="S16" s="159">
        <v>0</v>
      </c>
      <c r="T16" s="159">
        <v>0</v>
      </c>
      <c r="U16" s="159">
        <v>0</v>
      </c>
      <c r="V16" s="159">
        <v>0</v>
      </c>
      <c r="W16" s="159">
        <v>0</v>
      </c>
      <c r="X16" s="159">
        <v>0</v>
      </c>
      <c r="Y16" s="159">
        <v>0</v>
      </c>
      <c r="Z16" s="159">
        <v>0</v>
      </c>
      <c r="AA16" s="159">
        <v>0</v>
      </c>
      <c r="AB16" s="159">
        <v>0</v>
      </c>
      <c r="AC16" s="159">
        <v>0</v>
      </c>
    </row>
    <row r="17" spans="2:29" x14ac:dyDescent="0.25">
      <c r="B17" s="285" t="s">
        <v>62</v>
      </c>
      <c r="C17" s="286"/>
      <c r="D17" s="286"/>
      <c r="E17" s="3">
        <f>E15+E16</f>
        <v>0</v>
      </c>
      <c r="F17" s="3">
        <f t="shared" ref="F17:AC17" si="2">F15+F16</f>
        <v>0</v>
      </c>
      <c r="G17" s="3">
        <f t="shared" si="2"/>
        <v>0</v>
      </c>
      <c r="H17" s="3">
        <f t="shared" si="2"/>
        <v>0</v>
      </c>
      <c r="I17" s="3">
        <f t="shared" si="2"/>
        <v>0</v>
      </c>
      <c r="J17" s="3">
        <f t="shared" si="2"/>
        <v>0</v>
      </c>
      <c r="K17" s="3">
        <f t="shared" si="2"/>
        <v>0</v>
      </c>
      <c r="L17" s="3">
        <f t="shared" si="2"/>
        <v>0</v>
      </c>
      <c r="M17" s="3">
        <f t="shared" si="2"/>
        <v>0</v>
      </c>
      <c r="N17" s="3">
        <f t="shared" si="2"/>
        <v>0</v>
      </c>
      <c r="O17" s="3">
        <f t="shared" si="2"/>
        <v>0</v>
      </c>
      <c r="P17" s="3">
        <f t="shared" si="2"/>
        <v>0</v>
      </c>
      <c r="Q17" s="3">
        <f t="shared" si="2"/>
        <v>0</v>
      </c>
      <c r="R17" s="3">
        <f t="shared" si="2"/>
        <v>0</v>
      </c>
      <c r="S17" s="3">
        <f t="shared" si="2"/>
        <v>0</v>
      </c>
      <c r="T17" s="3">
        <f t="shared" si="2"/>
        <v>0</v>
      </c>
      <c r="U17" s="3">
        <f t="shared" si="2"/>
        <v>0</v>
      </c>
      <c r="V17" s="3">
        <f t="shared" si="2"/>
        <v>0</v>
      </c>
      <c r="W17" s="3">
        <f t="shared" si="2"/>
        <v>0</v>
      </c>
      <c r="X17" s="3">
        <f t="shared" si="2"/>
        <v>0</v>
      </c>
      <c r="Y17" s="3">
        <f t="shared" si="2"/>
        <v>0</v>
      </c>
      <c r="Z17" s="3">
        <f t="shared" si="2"/>
        <v>0</v>
      </c>
      <c r="AA17" s="3">
        <f t="shared" si="2"/>
        <v>0</v>
      </c>
      <c r="AB17" s="3">
        <f t="shared" si="2"/>
        <v>0</v>
      </c>
      <c r="AC17" s="3">
        <f t="shared" si="2"/>
        <v>0</v>
      </c>
    </row>
    <row r="18" spans="2:29" x14ac:dyDescent="0.25">
      <c r="B18" s="287" t="s">
        <v>40</v>
      </c>
      <c r="C18" s="288"/>
      <c r="D18" s="288"/>
      <c r="E18" s="43">
        <f>E12-(-E15)</f>
        <v>0</v>
      </c>
      <c r="F18" s="43">
        <f t="shared" ref="F18:AC18" si="3">F12-(-F17)</f>
        <v>0</v>
      </c>
      <c r="G18" s="43">
        <f t="shared" si="3"/>
        <v>0</v>
      </c>
      <c r="H18" s="43">
        <f t="shared" si="3"/>
        <v>0</v>
      </c>
      <c r="I18" s="43">
        <f t="shared" si="3"/>
        <v>0</v>
      </c>
      <c r="J18" s="43">
        <f t="shared" si="3"/>
        <v>0</v>
      </c>
      <c r="K18" s="43">
        <f t="shared" si="3"/>
        <v>0</v>
      </c>
      <c r="L18" s="43">
        <f t="shared" si="3"/>
        <v>0</v>
      </c>
      <c r="M18" s="43">
        <f t="shared" si="3"/>
        <v>0</v>
      </c>
      <c r="N18" s="43">
        <f t="shared" si="3"/>
        <v>0</v>
      </c>
      <c r="O18" s="43">
        <f t="shared" si="3"/>
        <v>0</v>
      </c>
      <c r="P18" s="43">
        <f t="shared" si="3"/>
        <v>0</v>
      </c>
      <c r="Q18" s="43">
        <f t="shared" si="3"/>
        <v>0</v>
      </c>
      <c r="R18" s="43">
        <f t="shared" si="3"/>
        <v>0</v>
      </c>
      <c r="S18" s="43">
        <f t="shared" si="3"/>
        <v>0</v>
      </c>
      <c r="T18" s="43">
        <f t="shared" si="3"/>
        <v>0</v>
      </c>
      <c r="U18" s="43">
        <f t="shared" si="3"/>
        <v>0</v>
      </c>
      <c r="V18" s="43">
        <f t="shared" si="3"/>
        <v>0</v>
      </c>
      <c r="W18" s="43">
        <f t="shared" si="3"/>
        <v>0</v>
      </c>
      <c r="X18" s="43">
        <f t="shared" si="3"/>
        <v>0</v>
      </c>
      <c r="Y18" s="43">
        <f t="shared" si="3"/>
        <v>0</v>
      </c>
      <c r="Z18" s="43">
        <f t="shared" si="3"/>
        <v>0</v>
      </c>
      <c r="AA18" s="43">
        <f t="shared" si="3"/>
        <v>0</v>
      </c>
      <c r="AB18" s="43">
        <f t="shared" si="3"/>
        <v>0</v>
      </c>
      <c r="AC18" s="80">
        <f t="shared" si="3"/>
        <v>0</v>
      </c>
    </row>
    <row r="19" spans="2:29" x14ac:dyDescent="0.25">
      <c r="B19" s="289" t="s">
        <v>41</v>
      </c>
      <c r="C19" s="290"/>
      <c r="D19" s="290"/>
      <c r="E19" s="100">
        <f>E18</f>
        <v>0</v>
      </c>
      <c r="F19" s="100">
        <f t="shared" ref="F19:AC19" si="4">E19+F18</f>
        <v>0</v>
      </c>
      <c r="G19" s="100">
        <f t="shared" si="4"/>
        <v>0</v>
      </c>
      <c r="H19" s="100">
        <f t="shared" si="4"/>
        <v>0</v>
      </c>
      <c r="I19" s="100">
        <f t="shared" si="4"/>
        <v>0</v>
      </c>
      <c r="J19" s="100">
        <f t="shared" si="4"/>
        <v>0</v>
      </c>
      <c r="K19" s="100">
        <f t="shared" si="4"/>
        <v>0</v>
      </c>
      <c r="L19" s="100">
        <f t="shared" si="4"/>
        <v>0</v>
      </c>
      <c r="M19" s="100">
        <f t="shared" si="4"/>
        <v>0</v>
      </c>
      <c r="N19" s="100">
        <f t="shared" si="4"/>
        <v>0</v>
      </c>
      <c r="O19" s="100">
        <f t="shared" si="4"/>
        <v>0</v>
      </c>
      <c r="P19" s="100">
        <f t="shared" si="4"/>
        <v>0</v>
      </c>
      <c r="Q19" s="100">
        <f t="shared" si="4"/>
        <v>0</v>
      </c>
      <c r="R19" s="100">
        <f t="shared" si="4"/>
        <v>0</v>
      </c>
      <c r="S19" s="100">
        <f t="shared" si="4"/>
        <v>0</v>
      </c>
      <c r="T19" s="100">
        <f t="shared" si="4"/>
        <v>0</v>
      </c>
      <c r="U19" s="100">
        <f t="shared" si="4"/>
        <v>0</v>
      </c>
      <c r="V19" s="100">
        <f t="shared" si="4"/>
        <v>0</v>
      </c>
      <c r="W19" s="100">
        <f t="shared" si="4"/>
        <v>0</v>
      </c>
      <c r="X19" s="100">
        <f t="shared" si="4"/>
        <v>0</v>
      </c>
      <c r="Y19" s="100">
        <f t="shared" si="4"/>
        <v>0</v>
      </c>
      <c r="Z19" s="100">
        <f t="shared" si="4"/>
        <v>0</v>
      </c>
      <c r="AA19" s="100">
        <f t="shared" si="4"/>
        <v>0</v>
      </c>
      <c r="AB19" s="100">
        <f t="shared" si="4"/>
        <v>0</v>
      </c>
      <c r="AC19" s="102">
        <f t="shared" si="4"/>
        <v>0</v>
      </c>
    </row>
    <row r="20" spans="2:29" x14ac:dyDescent="0.25">
      <c r="B20" s="291" t="s">
        <v>6</v>
      </c>
      <c r="C20" s="292"/>
      <c r="D20" s="292"/>
      <c r="E20" s="4" t="e">
        <f t="shared" ref="E20:AC20" si="5">-SUM(E12/E17)</f>
        <v>#DIV/0!</v>
      </c>
      <c r="F20" s="4" t="e">
        <f t="shared" si="5"/>
        <v>#DIV/0!</v>
      </c>
      <c r="G20" s="4" t="e">
        <f t="shared" si="5"/>
        <v>#DIV/0!</v>
      </c>
      <c r="H20" s="4" t="e">
        <f t="shared" si="5"/>
        <v>#DIV/0!</v>
      </c>
      <c r="I20" s="4" t="e">
        <f t="shared" si="5"/>
        <v>#DIV/0!</v>
      </c>
      <c r="J20" s="4" t="e">
        <f t="shared" si="5"/>
        <v>#DIV/0!</v>
      </c>
      <c r="K20" s="4" t="e">
        <f t="shared" si="5"/>
        <v>#DIV/0!</v>
      </c>
      <c r="L20" s="4" t="e">
        <f t="shared" si="5"/>
        <v>#DIV/0!</v>
      </c>
      <c r="M20" s="4" t="e">
        <f t="shared" si="5"/>
        <v>#DIV/0!</v>
      </c>
      <c r="N20" s="4" t="e">
        <f t="shared" si="5"/>
        <v>#DIV/0!</v>
      </c>
      <c r="O20" s="4" t="e">
        <f t="shared" si="5"/>
        <v>#DIV/0!</v>
      </c>
      <c r="P20" s="4" t="e">
        <f t="shared" si="5"/>
        <v>#DIV/0!</v>
      </c>
      <c r="Q20" s="4" t="e">
        <f t="shared" si="5"/>
        <v>#DIV/0!</v>
      </c>
      <c r="R20" s="4" t="e">
        <f t="shared" si="5"/>
        <v>#DIV/0!</v>
      </c>
      <c r="S20" s="4" t="e">
        <f t="shared" si="5"/>
        <v>#DIV/0!</v>
      </c>
      <c r="T20" s="4" t="e">
        <f t="shared" si="5"/>
        <v>#DIV/0!</v>
      </c>
      <c r="U20" s="4" t="e">
        <f t="shared" si="5"/>
        <v>#DIV/0!</v>
      </c>
      <c r="V20" s="4" t="e">
        <f t="shared" si="5"/>
        <v>#DIV/0!</v>
      </c>
      <c r="W20" s="4" t="e">
        <f t="shared" si="5"/>
        <v>#DIV/0!</v>
      </c>
      <c r="X20" s="4" t="e">
        <f t="shared" si="5"/>
        <v>#DIV/0!</v>
      </c>
      <c r="Y20" s="4" t="e">
        <f t="shared" si="5"/>
        <v>#DIV/0!</v>
      </c>
      <c r="Z20" s="4" t="e">
        <f t="shared" si="5"/>
        <v>#DIV/0!</v>
      </c>
      <c r="AA20" s="4" t="e">
        <f t="shared" si="5"/>
        <v>#DIV/0!</v>
      </c>
      <c r="AB20" s="4" t="e">
        <f t="shared" si="5"/>
        <v>#DIV/0!</v>
      </c>
      <c r="AC20" s="82" t="e">
        <f t="shared" si="5"/>
        <v>#DIV/0!</v>
      </c>
    </row>
    <row r="21" spans="2:29" ht="15.75" thickBot="1" x14ac:dyDescent="0.3">
      <c r="B21" s="293"/>
      <c r="C21" s="294"/>
      <c r="D21" s="294"/>
      <c r="E21" s="147"/>
      <c r="F21" s="147"/>
      <c r="G21" s="33"/>
      <c r="H21" s="147"/>
      <c r="I21" s="147"/>
      <c r="J21" s="147"/>
      <c r="K21" s="147"/>
      <c r="L21" s="147"/>
      <c r="M21" s="147"/>
      <c r="N21" s="147"/>
      <c r="O21" s="147"/>
      <c r="P21" s="147"/>
      <c r="Q21" s="147"/>
      <c r="R21" s="147"/>
      <c r="S21" s="147"/>
      <c r="T21" s="147"/>
      <c r="U21" s="147"/>
      <c r="V21" s="147"/>
      <c r="W21" s="147"/>
      <c r="X21" s="147" t="s">
        <v>2</v>
      </c>
      <c r="Y21" s="147" t="s">
        <v>2</v>
      </c>
      <c r="Z21" s="147" t="s">
        <v>2</v>
      </c>
      <c r="AA21" s="147" t="s">
        <v>2</v>
      </c>
      <c r="AB21" s="147" t="s">
        <v>2</v>
      </c>
      <c r="AC21" s="36" t="s">
        <v>2</v>
      </c>
    </row>
    <row r="22" spans="2:29" ht="15.75" thickBot="1" x14ac:dyDescent="0.3">
      <c r="B22" s="278" t="s">
        <v>99</v>
      </c>
      <c r="C22" s="279"/>
      <c r="D22" s="279"/>
      <c r="E22" s="279"/>
      <c r="F22" s="280"/>
      <c r="G22" s="147"/>
      <c r="H22" s="147"/>
      <c r="I22" s="147"/>
      <c r="J22" s="147"/>
      <c r="K22" s="147"/>
      <c r="L22" s="147"/>
      <c r="M22" s="147"/>
      <c r="N22" s="147"/>
      <c r="O22" s="147"/>
      <c r="P22" s="147"/>
      <c r="Q22" s="147"/>
      <c r="R22" s="147"/>
      <c r="S22" s="147"/>
      <c r="T22" s="147"/>
      <c r="U22" s="147"/>
      <c r="V22" s="147"/>
      <c r="W22" s="147"/>
      <c r="X22" s="147"/>
      <c r="Y22" s="147"/>
      <c r="Z22" s="147"/>
      <c r="AA22" s="147"/>
      <c r="AB22" s="147"/>
      <c r="AC22" s="36"/>
    </row>
    <row r="23" spans="2:29" x14ac:dyDescent="0.25">
      <c r="B23" s="258" t="s">
        <v>8</v>
      </c>
      <c r="C23" s="259"/>
      <c r="D23" s="259"/>
      <c r="E23" s="260">
        <f>SUM(E12:AC12)</f>
        <v>0</v>
      </c>
      <c r="F23" s="261"/>
      <c r="G23" t="s">
        <v>12</v>
      </c>
      <c r="K23" s="147"/>
      <c r="L23" s="147"/>
      <c r="M23" s="147"/>
      <c r="N23" s="147"/>
      <c r="O23" s="147"/>
      <c r="P23" s="147"/>
      <c r="Q23" s="147"/>
      <c r="R23" s="147"/>
      <c r="S23" s="147"/>
      <c r="T23" s="147"/>
      <c r="U23" s="147"/>
      <c r="V23" s="147"/>
      <c r="W23" s="147"/>
      <c r="X23" s="147"/>
      <c r="Y23" s="147"/>
      <c r="Z23" s="147"/>
      <c r="AA23" s="147"/>
      <c r="AB23" s="147"/>
      <c r="AC23" s="36"/>
    </row>
    <row r="24" spans="2:29" x14ac:dyDescent="0.25">
      <c r="B24" s="262" t="s">
        <v>9</v>
      </c>
      <c r="C24" s="263"/>
      <c r="D24" s="263"/>
      <c r="E24" s="264">
        <f>-SUM(E17:AC17)</f>
        <v>0</v>
      </c>
      <c r="F24" s="265"/>
      <c r="G24" s="147"/>
      <c r="H24" s="147"/>
      <c r="I24" s="147"/>
      <c r="J24" s="147"/>
      <c r="K24" s="147"/>
      <c r="L24" s="147"/>
      <c r="M24" s="147"/>
      <c r="N24" s="147"/>
      <c r="O24" s="147"/>
      <c r="P24" s="147"/>
      <c r="Q24" s="147"/>
      <c r="R24" s="147"/>
      <c r="S24" s="147"/>
      <c r="T24" s="147"/>
      <c r="U24" s="147"/>
      <c r="V24" s="147"/>
      <c r="W24" s="147"/>
      <c r="X24" s="147"/>
      <c r="Y24" s="147"/>
      <c r="Z24" s="147"/>
      <c r="AA24" s="147"/>
      <c r="AB24" s="147"/>
      <c r="AC24" s="36"/>
    </row>
    <row r="25" spans="2:29" ht="14.65" customHeight="1" thickBot="1" x14ac:dyDescent="0.3">
      <c r="B25" s="266" t="s">
        <v>102</v>
      </c>
      <c r="C25" s="267"/>
      <c r="D25" s="267"/>
      <c r="E25" s="268" t="e">
        <f>E23/E24</f>
        <v>#DIV/0!</v>
      </c>
      <c r="F25" s="269"/>
      <c r="G25" s="37"/>
      <c r="H25" s="37"/>
      <c r="I25" s="37"/>
      <c r="J25" s="37"/>
      <c r="K25" s="37"/>
      <c r="L25" s="37"/>
      <c r="M25" s="37"/>
      <c r="N25" s="37"/>
      <c r="O25" s="37"/>
      <c r="P25" s="37"/>
      <c r="Q25" s="37"/>
      <c r="R25" s="37"/>
      <c r="S25" s="37"/>
      <c r="T25" s="37"/>
      <c r="U25" s="37"/>
      <c r="V25" s="37"/>
      <c r="W25" s="37"/>
      <c r="X25" s="37"/>
      <c r="Y25" s="37"/>
      <c r="Z25" s="37"/>
      <c r="AA25" s="37"/>
      <c r="AB25" s="37"/>
      <c r="AC25" s="38"/>
    </row>
    <row r="26" spans="2:29" x14ac:dyDescent="0.25">
      <c r="E26" s="30"/>
    </row>
    <row r="27" spans="2:29" x14ac:dyDescent="0.25">
      <c r="E27" s="30"/>
      <c r="O27" t="s">
        <v>2</v>
      </c>
    </row>
    <row r="28" spans="2:29" x14ac:dyDescent="0.25">
      <c r="B28" s="256"/>
      <c r="C28" s="256"/>
      <c r="D28" s="256"/>
    </row>
    <row r="31" spans="2:29" x14ac:dyDescent="0.25">
      <c r="B31" s="257"/>
      <c r="C31" s="257"/>
      <c r="D31" s="257"/>
    </row>
    <row r="32" spans="2:29" x14ac:dyDescent="0.25">
      <c r="B32" s="257"/>
      <c r="C32" s="257"/>
      <c r="D32" s="257"/>
    </row>
    <row r="33" spans="2:4" x14ac:dyDescent="0.25">
      <c r="B33" s="257"/>
      <c r="C33" s="257"/>
      <c r="D33" s="257"/>
    </row>
  </sheetData>
  <sheetProtection algorithmName="SHA-512" hashValue="CztQtUZShohVYn9HKl28GxPUUA4PChCFK6FvTVP0uoAqDnq4rfeytgamEBU2GC2gaPMX4ejzfT1b7aCskrxXsw==" saltValue="652qAa6XqpCz/PzeHsp8zQ==" spinCount="100000" sheet="1" objects="1" scenarios="1"/>
  <mergeCells count="26">
    <mergeCell ref="B4:C4"/>
    <mergeCell ref="B6:D6"/>
    <mergeCell ref="B7:D7"/>
    <mergeCell ref="B8:D8"/>
    <mergeCell ref="B22:F22"/>
    <mergeCell ref="B9:D9"/>
    <mergeCell ref="B11:D11"/>
    <mergeCell ref="B12:D12"/>
    <mergeCell ref="B14:D14"/>
    <mergeCell ref="B15:D15"/>
    <mergeCell ref="B17:D17"/>
    <mergeCell ref="B18:D18"/>
    <mergeCell ref="B19:D19"/>
    <mergeCell ref="B20:D20"/>
    <mergeCell ref="B21:D21"/>
    <mergeCell ref="B16:D16"/>
    <mergeCell ref="E23:F23"/>
    <mergeCell ref="B24:D24"/>
    <mergeCell ref="E24:F24"/>
    <mergeCell ref="B25:D25"/>
    <mergeCell ref="E25:F25"/>
    <mergeCell ref="B28:D28"/>
    <mergeCell ref="B31:D31"/>
    <mergeCell ref="B32:D32"/>
    <mergeCell ref="B33:D33"/>
    <mergeCell ref="B23:D23"/>
  </mergeCells>
  <conditionalFormatting sqref="E20:AC20">
    <cfRule type="cellIs" dxfId="7" priority="3" operator="lessThan">
      <formula>1</formula>
    </cfRule>
    <cfRule type="cellIs" dxfId="6" priority="4" operator="greaterThan">
      <formula>1</formula>
    </cfRule>
  </conditionalFormatting>
  <conditionalFormatting sqref="E25">
    <cfRule type="cellIs" dxfId="5" priority="1" operator="lessThan">
      <formula>1</formula>
    </cfRule>
    <cfRule type="cellIs" dxfId="4" priority="2" operator="greaterThan">
      <formula>1</formula>
    </cfRule>
  </conditionalFormatting>
  <pageMargins left="0.25" right="0.25" top="0.75" bottom="0.75" header="0.3" footer="0.3"/>
  <pageSetup scale="3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724EA-14BC-4232-A463-175D9D8EDD3D}">
  <sheetPr codeName="Sheet7">
    <tabColor rgb="FFFFFF66"/>
    <pageSetUpPr fitToPage="1"/>
  </sheetPr>
  <dimension ref="B1:AC35"/>
  <sheetViews>
    <sheetView zoomScale="80" zoomScaleNormal="80" workbookViewId="0">
      <selection activeCell="E31" sqref="E31"/>
    </sheetView>
  </sheetViews>
  <sheetFormatPr defaultColWidth="9.28515625" defaultRowHeight="15" x14ac:dyDescent="0.25"/>
  <cols>
    <col min="1" max="1" width="2.7109375" customWidth="1"/>
    <col min="2" max="2" width="36.42578125" customWidth="1"/>
    <col min="3" max="3" width="14.42578125" customWidth="1"/>
    <col min="5" max="5" width="11.7109375" customWidth="1"/>
    <col min="6" max="6" width="11.42578125" customWidth="1"/>
    <col min="7" max="7" width="11.28515625" customWidth="1"/>
    <col min="8" max="8" width="11.7109375" customWidth="1"/>
    <col min="9" max="10" width="11.28515625" customWidth="1"/>
    <col min="11" max="11" width="11.42578125" customWidth="1"/>
    <col min="12" max="12" width="10.42578125" customWidth="1"/>
    <col min="13" max="15" width="11.42578125" customWidth="1"/>
    <col min="16" max="17" width="11.7109375" customWidth="1"/>
    <col min="18" max="18" width="11.42578125" customWidth="1"/>
    <col min="19" max="19" width="11.7109375" customWidth="1"/>
    <col min="20" max="21" width="11.42578125" customWidth="1"/>
    <col min="22" max="29" width="11.28515625" customWidth="1"/>
  </cols>
  <sheetData>
    <row r="1" spans="2:29" ht="18.75" x14ac:dyDescent="0.3">
      <c r="B1" s="5" t="s">
        <v>101</v>
      </c>
    </row>
    <row r="2" spans="2:29" ht="18" customHeight="1" thickBot="1" x14ac:dyDescent="0.3">
      <c r="E2" s="31"/>
      <c r="L2" s="29"/>
    </row>
    <row r="3" spans="2:29" x14ac:dyDescent="0.25">
      <c r="B3" s="34"/>
      <c r="C3" s="35"/>
      <c r="D3" s="35"/>
      <c r="E3" s="74">
        <v>2023</v>
      </c>
      <c r="F3" s="74">
        <f>SUM(E3+1)</f>
        <v>2024</v>
      </c>
      <c r="G3" s="74">
        <f t="shared" ref="G3:AC3" si="0">SUM(F3+1)</f>
        <v>2025</v>
      </c>
      <c r="H3" s="74">
        <f t="shared" si="0"/>
        <v>2026</v>
      </c>
      <c r="I3" s="74">
        <f t="shared" si="0"/>
        <v>2027</v>
      </c>
      <c r="J3" s="74">
        <f t="shared" si="0"/>
        <v>2028</v>
      </c>
      <c r="K3" s="74">
        <f t="shared" si="0"/>
        <v>2029</v>
      </c>
      <c r="L3" s="74">
        <f t="shared" si="0"/>
        <v>2030</v>
      </c>
      <c r="M3" s="74">
        <f t="shared" si="0"/>
        <v>2031</v>
      </c>
      <c r="N3" s="74">
        <f t="shared" si="0"/>
        <v>2032</v>
      </c>
      <c r="O3" s="74">
        <f t="shared" si="0"/>
        <v>2033</v>
      </c>
      <c r="P3" s="74">
        <f t="shared" si="0"/>
        <v>2034</v>
      </c>
      <c r="Q3" s="74">
        <f t="shared" si="0"/>
        <v>2035</v>
      </c>
      <c r="R3" s="74">
        <f t="shared" si="0"/>
        <v>2036</v>
      </c>
      <c r="S3" s="74">
        <f t="shared" si="0"/>
        <v>2037</v>
      </c>
      <c r="T3" s="74">
        <f t="shared" si="0"/>
        <v>2038</v>
      </c>
      <c r="U3" s="74">
        <f t="shared" si="0"/>
        <v>2039</v>
      </c>
      <c r="V3" s="74">
        <f t="shared" si="0"/>
        <v>2040</v>
      </c>
      <c r="W3" s="74">
        <f t="shared" si="0"/>
        <v>2041</v>
      </c>
      <c r="X3" s="74">
        <f t="shared" si="0"/>
        <v>2042</v>
      </c>
      <c r="Y3" s="74">
        <f t="shared" si="0"/>
        <v>2043</v>
      </c>
      <c r="Z3" s="74">
        <f t="shared" si="0"/>
        <v>2044</v>
      </c>
      <c r="AA3" s="74">
        <f t="shared" si="0"/>
        <v>2045</v>
      </c>
      <c r="AB3" s="74">
        <f t="shared" si="0"/>
        <v>2046</v>
      </c>
      <c r="AC3" s="101">
        <f t="shared" si="0"/>
        <v>2047</v>
      </c>
    </row>
    <row r="4" spans="2:29" x14ac:dyDescent="0.25">
      <c r="B4" s="270" t="s">
        <v>3</v>
      </c>
      <c r="C4" s="271"/>
      <c r="D4" s="1"/>
      <c r="E4" s="39">
        <v>1</v>
      </c>
      <c r="F4" s="39">
        <v>2</v>
      </c>
      <c r="G4" s="39">
        <v>3</v>
      </c>
      <c r="H4" s="39">
        <v>4</v>
      </c>
      <c r="I4" s="39">
        <v>5</v>
      </c>
      <c r="J4" s="39">
        <v>6</v>
      </c>
      <c r="K4" s="39">
        <v>7</v>
      </c>
      <c r="L4" s="39">
        <v>8</v>
      </c>
      <c r="M4" s="39">
        <v>9</v>
      </c>
      <c r="N4" s="39">
        <v>10</v>
      </c>
      <c r="O4" s="39">
        <v>11</v>
      </c>
      <c r="P4" s="39">
        <v>12</v>
      </c>
      <c r="Q4" s="39">
        <v>13</v>
      </c>
      <c r="R4" s="39">
        <v>14</v>
      </c>
      <c r="S4" s="39">
        <v>15</v>
      </c>
      <c r="T4" s="39">
        <v>16</v>
      </c>
      <c r="U4" s="39">
        <v>17</v>
      </c>
      <c r="V4" s="39">
        <v>18</v>
      </c>
      <c r="W4" s="39">
        <v>19</v>
      </c>
      <c r="X4" s="39">
        <v>20</v>
      </c>
      <c r="Y4" s="39">
        <v>21</v>
      </c>
      <c r="Z4" s="39">
        <v>22</v>
      </c>
      <c r="AA4" s="39">
        <v>23</v>
      </c>
      <c r="AB4" s="39">
        <v>24</v>
      </c>
      <c r="AC4" s="75">
        <v>25</v>
      </c>
    </row>
    <row r="5" spans="2:29" x14ac:dyDescent="0.25">
      <c r="B5" s="195" t="s">
        <v>82</v>
      </c>
      <c r="C5" s="196"/>
      <c r="D5" s="196"/>
      <c r="E5" s="40">
        <f>INPUTS!$C$13</f>
        <v>0</v>
      </c>
      <c r="F5" s="40">
        <f>INPUTS!$C$13</f>
        <v>0</v>
      </c>
      <c r="G5" s="40">
        <f>INPUTS!$C$13</f>
        <v>0</v>
      </c>
      <c r="H5" s="40">
        <f>INPUTS!$C$13</f>
        <v>0</v>
      </c>
      <c r="I5" s="40">
        <f>INPUTS!$C$13</f>
        <v>0</v>
      </c>
      <c r="J5" s="40">
        <f>INPUTS!$C$13</f>
        <v>0</v>
      </c>
      <c r="K5" s="40">
        <f>INPUTS!$C$13</f>
        <v>0</v>
      </c>
      <c r="L5" s="40">
        <f>INPUTS!$C$13</f>
        <v>0</v>
      </c>
      <c r="M5" s="40">
        <f>INPUTS!$C$13</f>
        <v>0</v>
      </c>
      <c r="N5" s="40">
        <f>INPUTS!$C$13</f>
        <v>0</v>
      </c>
      <c r="O5" s="40">
        <f>INPUTS!$C$13</f>
        <v>0</v>
      </c>
      <c r="P5" s="40">
        <f>INPUTS!$C$13</f>
        <v>0</v>
      </c>
      <c r="Q5" s="40">
        <f>INPUTS!$C$13</f>
        <v>0</v>
      </c>
      <c r="R5" s="40">
        <f>INPUTS!$C$13</f>
        <v>0</v>
      </c>
      <c r="S5" s="40">
        <f>INPUTS!$C$13</f>
        <v>0</v>
      </c>
      <c r="T5" s="40">
        <f>INPUTS!$C$13</f>
        <v>0</v>
      </c>
      <c r="U5" s="40">
        <f>INPUTS!$C$13</f>
        <v>0</v>
      </c>
      <c r="V5" s="40">
        <f>INPUTS!$C$13</f>
        <v>0</v>
      </c>
      <c r="W5" s="40">
        <f>INPUTS!$C$13</f>
        <v>0</v>
      </c>
      <c r="X5" s="40">
        <f>INPUTS!$C$13</f>
        <v>0</v>
      </c>
      <c r="Y5" s="40"/>
      <c r="Z5" s="40"/>
      <c r="AA5" s="40"/>
      <c r="AB5" s="40"/>
      <c r="AC5" s="76"/>
    </row>
    <row r="6" spans="2:29" x14ac:dyDescent="0.25">
      <c r="B6" s="272" t="s">
        <v>55</v>
      </c>
      <c r="C6" s="273"/>
      <c r="D6" s="273"/>
      <c r="E6" s="40">
        <f>'SUMMARY OF PV MEASURE'!J3</f>
        <v>0</v>
      </c>
      <c r="F6" s="40">
        <f>'SUMMARY OF PV MEASURE'!K3</f>
        <v>0</v>
      </c>
      <c r="G6" s="40">
        <f>'SUMMARY OF PV MEASURE'!L3</f>
        <v>0</v>
      </c>
      <c r="H6" s="40">
        <f>'SUMMARY OF PV MEASURE'!M3</f>
        <v>0</v>
      </c>
      <c r="I6" s="40">
        <f>'SUMMARY OF PV MEASURE'!N3</f>
        <v>0</v>
      </c>
      <c r="J6" s="40">
        <f>'SUMMARY OF PV MEASURE'!O3</f>
        <v>0</v>
      </c>
      <c r="K6" s="40">
        <f>'SUMMARY OF PV MEASURE'!P3</f>
        <v>0</v>
      </c>
      <c r="L6" s="40">
        <f>'SUMMARY OF PV MEASURE'!Q3</f>
        <v>0</v>
      </c>
      <c r="M6" s="40">
        <f>'SUMMARY OF PV MEASURE'!R3</f>
        <v>0</v>
      </c>
      <c r="N6" s="40">
        <f>'SUMMARY OF PV MEASURE'!S3</f>
        <v>0</v>
      </c>
      <c r="O6" s="40">
        <f>'SUMMARY OF PV MEASURE'!T3</f>
        <v>0</v>
      </c>
      <c r="P6" s="40">
        <f>'SUMMARY OF PV MEASURE'!U3</f>
        <v>0</v>
      </c>
      <c r="Q6" s="40">
        <f>'SUMMARY OF PV MEASURE'!V3</f>
        <v>0</v>
      </c>
      <c r="R6" s="40">
        <f>'SUMMARY OF PV MEASURE'!W3</f>
        <v>0</v>
      </c>
      <c r="S6" s="40">
        <f>'SUMMARY OF PV MEASURE'!X3</f>
        <v>0</v>
      </c>
      <c r="T6" s="40">
        <f>'SUMMARY OF PV MEASURE'!Y3</f>
        <v>0</v>
      </c>
      <c r="U6" s="40">
        <f>'SUMMARY OF PV MEASURE'!Z3</f>
        <v>0</v>
      </c>
      <c r="V6" s="40">
        <f>'SUMMARY OF PV MEASURE'!AA3</f>
        <v>0</v>
      </c>
      <c r="W6" s="40">
        <f>'SUMMARY OF PV MEASURE'!AB3</f>
        <v>0</v>
      </c>
      <c r="X6" s="40">
        <f>'SUMMARY OF PV MEASURE'!AC3</f>
        <v>0</v>
      </c>
      <c r="Y6" s="40"/>
      <c r="Z6" s="40"/>
      <c r="AA6" s="40"/>
      <c r="AB6" s="40"/>
      <c r="AC6" s="76"/>
    </row>
    <row r="7" spans="2:29" x14ac:dyDescent="0.25">
      <c r="B7" s="272" t="s">
        <v>81</v>
      </c>
      <c r="C7" s="273"/>
      <c r="D7" s="273"/>
      <c r="E7" s="41">
        <f>INPUTS!C20</f>
        <v>0</v>
      </c>
      <c r="F7" s="41">
        <f>E7*(1+INPUTS!$C$21)</f>
        <v>0</v>
      </c>
      <c r="G7" s="41">
        <f>F7*(1+INPUTS!$C$21)</f>
        <v>0</v>
      </c>
      <c r="H7" s="41">
        <f>G7*(1+INPUTS!$C$21)</f>
        <v>0</v>
      </c>
      <c r="I7" s="41">
        <f>H7*(1+INPUTS!$C$21)</f>
        <v>0</v>
      </c>
      <c r="J7" s="41">
        <f>I7*(1+INPUTS!$C$21)</f>
        <v>0</v>
      </c>
      <c r="K7" s="41">
        <f>J7*(1+INPUTS!$C$21)</f>
        <v>0</v>
      </c>
      <c r="L7" s="41">
        <f>K7*(1+INPUTS!$C$21)</f>
        <v>0</v>
      </c>
      <c r="M7" s="41">
        <f>L7*(1+INPUTS!$C$21)</f>
        <v>0</v>
      </c>
      <c r="N7" s="41">
        <f>M7*(1+INPUTS!$C$21)</f>
        <v>0</v>
      </c>
      <c r="O7" s="41">
        <f>N7*(1+INPUTS!$C$21)</f>
        <v>0</v>
      </c>
      <c r="P7" s="41">
        <f>O7*(1+INPUTS!$C$21)</f>
        <v>0</v>
      </c>
      <c r="Q7" s="41">
        <f>P7*(1+INPUTS!$C$21)</f>
        <v>0</v>
      </c>
      <c r="R7" s="41">
        <f>Q7*(1+INPUTS!$C$21)</f>
        <v>0</v>
      </c>
      <c r="S7" s="41">
        <f>R7*(1+INPUTS!$C$21)</f>
        <v>0</v>
      </c>
      <c r="T7" s="41">
        <f>S7*(1+INPUTS!$C$21)</f>
        <v>0</v>
      </c>
      <c r="U7" s="41">
        <f>T7*(1+INPUTS!$C$21)</f>
        <v>0</v>
      </c>
      <c r="V7" s="41">
        <f>U7*(1+INPUTS!$C$21)</f>
        <v>0</v>
      </c>
      <c r="W7" s="41">
        <f>V7*(1+INPUTS!$C$21)</f>
        <v>0</v>
      </c>
      <c r="X7" s="41">
        <f>W7*(1+INPUTS!$C$21)</f>
        <v>0</v>
      </c>
      <c r="Y7" s="41"/>
      <c r="Z7" s="41"/>
      <c r="AA7" s="41"/>
      <c r="AB7" s="41"/>
      <c r="AC7" s="77"/>
    </row>
    <row r="8" spans="2:29" x14ac:dyDescent="0.25">
      <c r="B8" s="274" t="s">
        <v>10</v>
      </c>
      <c r="C8" s="275"/>
      <c r="D8" s="275"/>
      <c r="E8" s="42"/>
      <c r="F8" s="42"/>
      <c r="G8" s="42"/>
      <c r="H8" s="42"/>
      <c r="I8" s="42"/>
      <c r="J8" s="42"/>
      <c r="K8" s="42"/>
      <c r="L8" s="42"/>
      <c r="M8" s="42"/>
      <c r="N8" s="42"/>
      <c r="O8" s="42"/>
      <c r="P8" s="42"/>
      <c r="Q8" s="42"/>
      <c r="R8" s="42"/>
      <c r="S8" s="42"/>
      <c r="T8" s="42"/>
      <c r="U8" s="42"/>
      <c r="V8" s="42"/>
      <c r="W8" s="42"/>
      <c r="X8" s="42"/>
      <c r="Y8" s="42"/>
      <c r="Z8" s="42"/>
      <c r="AA8" s="42"/>
      <c r="AB8" s="42"/>
      <c r="AC8" s="78"/>
    </row>
    <row r="9" spans="2:29" x14ac:dyDescent="0.25">
      <c r="B9" s="276" t="s">
        <v>171</v>
      </c>
      <c r="C9" s="277"/>
      <c r="D9" s="277"/>
      <c r="E9" s="2">
        <f>E6*E7</f>
        <v>0</v>
      </c>
      <c r="F9" s="2">
        <f t="shared" ref="F9:X9" si="1">F6*F7</f>
        <v>0</v>
      </c>
      <c r="G9" s="2">
        <f t="shared" si="1"/>
        <v>0</v>
      </c>
      <c r="H9" s="2">
        <f t="shared" si="1"/>
        <v>0</v>
      </c>
      <c r="I9" s="2">
        <f t="shared" si="1"/>
        <v>0</v>
      </c>
      <c r="J9" s="2">
        <f t="shared" si="1"/>
        <v>0</v>
      </c>
      <c r="K9" s="2">
        <f t="shared" si="1"/>
        <v>0</v>
      </c>
      <c r="L9" s="2">
        <f t="shared" si="1"/>
        <v>0</v>
      </c>
      <c r="M9" s="2">
        <f t="shared" si="1"/>
        <v>0</v>
      </c>
      <c r="N9" s="2">
        <f t="shared" si="1"/>
        <v>0</v>
      </c>
      <c r="O9" s="2">
        <f t="shared" si="1"/>
        <v>0</v>
      </c>
      <c r="P9" s="2">
        <f t="shared" si="1"/>
        <v>0</v>
      </c>
      <c r="Q9" s="2">
        <f t="shared" si="1"/>
        <v>0</v>
      </c>
      <c r="R9" s="2">
        <f t="shared" si="1"/>
        <v>0</v>
      </c>
      <c r="S9" s="2">
        <f t="shared" si="1"/>
        <v>0</v>
      </c>
      <c r="T9" s="2">
        <f t="shared" si="1"/>
        <v>0</v>
      </c>
      <c r="U9" s="2">
        <f t="shared" si="1"/>
        <v>0</v>
      </c>
      <c r="V9" s="2">
        <f t="shared" si="1"/>
        <v>0</v>
      </c>
      <c r="W9" s="2">
        <f t="shared" si="1"/>
        <v>0</v>
      </c>
      <c r="X9" s="2">
        <f t="shared" si="1"/>
        <v>0</v>
      </c>
      <c r="Y9" s="2"/>
      <c r="Z9" s="2"/>
      <c r="AA9" s="2"/>
      <c r="AB9" s="2"/>
      <c r="AC9" s="2"/>
    </row>
    <row r="10" spans="2:29" x14ac:dyDescent="0.25">
      <c r="B10" s="276" t="s">
        <v>168</v>
      </c>
      <c r="C10" s="277"/>
      <c r="D10" s="277"/>
      <c r="E10" s="2">
        <f>E6*INPUTS!$C$39</f>
        <v>0</v>
      </c>
      <c r="F10" s="2">
        <f>F6*INPUTS!$C$39</f>
        <v>0</v>
      </c>
      <c r="G10" s="2">
        <f>G6*INPUTS!$C$39</f>
        <v>0</v>
      </c>
      <c r="H10" s="2">
        <f>H6*INPUTS!$C$39</f>
        <v>0</v>
      </c>
      <c r="I10" s="2">
        <f>I6*INPUTS!$C$39</f>
        <v>0</v>
      </c>
      <c r="J10" s="2">
        <f>J6*INPUTS!$C$39</f>
        <v>0</v>
      </c>
      <c r="K10" s="2">
        <f>K6*INPUTS!$C$39</f>
        <v>0</v>
      </c>
      <c r="L10" s="2">
        <f>L6*INPUTS!$C$39</f>
        <v>0</v>
      </c>
      <c r="M10" s="2">
        <f>M6*INPUTS!$C$39</f>
        <v>0</v>
      </c>
      <c r="N10" s="2">
        <f>N6*INPUTS!$C$39</f>
        <v>0</v>
      </c>
      <c r="O10" s="2">
        <f>O6*INPUTS!$C$39</f>
        <v>0</v>
      </c>
      <c r="P10" s="2">
        <f>P6*INPUTS!$C$39</f>
        <v>0</v>
      </c>
      <c r="Q10" s="2">
        <f>Q6*INPUTS!$C$39</f>
        <v>0</v>
      </c>
      <c r="R10" s="2">
        <f>R6*INPUTS!$C$39</f>
        <v>0</v>
      </c>
      <c r="S10" s="2">
        <f>S6*INPUTS!$C$39</f>
        <v>0</v>
      </c>
      <c r="T10" s="2">
        <f>T6*INPUTS!$C$39</f>
        <v>0</v>
      </c>
      <c r="U10" s="2">
        <f>U6*INPUTS!$C$39</f>
        <v>0</v>
      </c>
      <c r="V10" s="2">
        <f>V6*INPUTS!$C$39</f>
        <v>0</v>
      </c>
      <c r="W10" s="2">
        <f>W6*INPUTS!$C$39</f>
        <v>0</v>
      </c>
      <c r="X10" s="2">
        <f>X6*INPUTS!$C$39</f>
        <v>0</v>
      </c>
      <c r="Y10" s="2"/>
      <c r="Z10" s="2"/>
      <c r="AA10" s="2"/>
      <c r="AB10" s="2"/>
      <c r="AC10" s="79"/>
    </row>
    <row r="11" spans="2:29" x14ac:dyDescent="0.25">
      <c r="B11" s="276" t="s">
        <v>38</v>
      </c>
      <c r="C11" s="277"/>
      <c r="D11" s="277"/>
      <c r="E11" s="2">
        <f>SUM('TAX BENEFITS'!D11:I11)</f>
        <v>0</v>
      </c>
      <c r="F11" s="2"/>
      <c r="G11" s="2"/>
      <c r="H11" s="2"/>
      <c r="I11" s="2"/>
      <c r="J11" s="2"/>
      <c r="K11" s="2"/>
      <c r="L11" s="2"/>
      <c r="M11" s="2"/>
      <c r="N11" s="2"/>
      <c r="O11" s="2"/>
      <c r="P11" s="2"/>
      <c r="Q11" s="2"/>
      <c r="R11" s="2"/>
      <c r="S11" s="2"/>
      <c r="T11" s="2"/>
      <c r="U11" s="2"/>
      <c r="V11" s="2"/>
      <c r="W11" s="2"/>
      <c r="X11" s="2"/>
      <c r="Y11" s="32"/>
      <c r="Z11" s="2"/>
      <c r="AA11" s="2"/>
      <c r="AB11" s="2"/>
      <c r="AC11" s="79"/>
    </row>
    <row r="12" spans="2:29" x14ac:dyDescent="0.25">
      <c r="B12" s="197" t="s">
        <v>37</v>
      </c>
      <c r="C12" s="198"/>
      <c r="D12" s="198"/>
      <c r="E12" s="2">
        <f>'TAX BENEFITS'!C4</f>
        <v>0</v>
      </c>
      <c r="F12" s="2"/>
      <c r="G12" s="2"/>
      <c r="H12" s="2"/>
      <c r="I12" s="2"/>
      <c r="J12" s="2"/>
      <c r="K12" s="2"/>
      <c r="L12" s="2"/>
      <c r="M12" s="2"/>
      <c r="N12" s="2"/>
      <c r="O12" s="2"/>
      <c r="P12" s="2"/>
      <c r="Q12" s="2"/>
      <c r="R12" s="2"/>
      <c r="S12" s="2"/>
      <c r="T12" s="2"/>
      <c r="U12" s="2"/>
      <c r="V12" s="2"/>
      <c r="W12" s="2"/>
      <c r="X12" s="2"/>
      <c r="Y12" s="2"/>
      <c r="Z12" s="2"/>
      <c r="AA12" s="2"/>
      <c r="AB12" s="2"/>
      <c r="AC12" s="79"/>
    </row>
    <row r="13" spans="2:29" x14ac:dyDescent="0.25">
      <c r="B13" s="276"/>
      <c r="C13" s="277"/>
      <c r="D13" s="277"/>
      <c r="E13" s="43"/>
      <c r="F13" s="43"/>
      <c r="G13" s="43"/>
      <c r="H13" s="43"/>
      <c r="I13" s="43"/>
      <c r="J13" s="43"/>
      <c r="K13" s="43"/>
      <c r="L13" s="43"/>
      <c r="M13" s="43"/>
      <c r="N13" s="43"/>
      <c r="O13" s="43"/>
      <c r="P13" s="43"/>
      <c r="Q13" s="43"/>
      <c r="R13" s="43"/>
      <c r="S13" s="43"/>
      <c r="T13" s="43"/>
      <c r="U13" s="43"/>
      <c r="V13" s="43"/>
      <c r="W13" s="43" t="s">
        <v>2</v>
      </c>
      <c r="X13" s="43"/>
      <c r="Y13" s="43"/>
      <c r="Z13" s="43"/>
      <c r="AA13" s="43"/>
      <c r="AB13" s="43"/>
      <c r="AC13" s="80"/>
    </row>
    <row r="14" spans="2:29" x14ac:dyDescent="0.25">
      <c r="B14" s="281" t="s">
        <v>8</v>
      </c>
      <c r="C14" s="282"/>
      <c r="D14" s="282"/>
      <c r="E14" s="2">
        <f t="shared" ref="E14:X14" si="2">SUM(E9:E12)</f>
        <v>0</v>
      </c>
      <c r="F14" s="2">
        <f t="shared" si="2"/>
        <v>0</v>
      </c>
      <c r="G14" s="2">
        <f t="shared" si="2"/>
        <v>0</v>
      </c>
      <c r="H14" s="2">
        <f t="shared" si="2"/>
        <v>0</v>
      </c>
      <c r="I14" s="2">
        <f t="shared" si="2"/>
        <v>0</v>
      </c>
      <c r="J14" s="2">
        <f t="shared" si="2"/>
        <v>0</v>
      </c>
      <c r="K14" s="2">
        <f t="shared" si="2"/>
        <v>0</v>
      </c>
      <c r="L14" s="2">
        <f t="shared" si="2"/>
        <v>0</v>
      </c>
      <c r="M14" s="2">
        <f t="shared" si="2"/>
        <v>0</v>
      </c>
      <c r="N14" s="2">
        <f t="shared" si="2"/>
        <v>0</v>
      </c>
      <c r="O14" s="2">
        <f t="shared" si="2"/>
        <v>0</v>
      </c>
      <c r="P14" s="2">
        <f t="shared" si="2"/>
        <v>0</v>
      </c>
      <c r="Q14" s="2">
        <f t="shared" si="2"/>
        <v>0</v>
      </c>
      <c r="R14" s="2">
        <f t="shared" si="2"/>
        <v>0</v>
      </c>
      <c r="S14" s="2">
        <f t="shared" si="2"/>
        <v>0</v>
      </c>
      <c r="T14" s="2">
        <f t="shared" si="2"/>
        <v>0</v>
      </c>
      <c r="U14" s="2">
        <f t="shared" si="2"/>
        <v>0</v>
      </c>
      <c r="V14" s="2">
        <f t="shared" si="2"/>
        <v>0</v>
      </c>
      <c r="W14" s="2">
        <f t="shared" si="2"/>
        <v>0</v>
      </c>
      <c r="X14" s="2">
        <f t="shared" si="2"/>
        <v>0</v>
      </c>
      <c r="Y14" s="2"/>
      <c r="Z14" s="2"/>
      <c r="AA14" s="2"/>
      <c r="AB14" s="2"/>
      <c r="AC14" s="79"/>
    </row>
    <row r="15" spans="2:29" x14ac:dyDescent="0.25">
      <c r="B15" s="197"/>
      <c r="C15" s="198"/>
      <c r="D15" s="198"/>
      <c r="E15" s="44"/>
      <c r="F15" s="44"/>
      <c r="G15" s="44"/>
      <c r="H15" s="44"/>
      <c r="I15" s="44"/>
      <c r="J15" s="44"/>
      <c r="K15" s="44"/>
      <c r="L15" s="44"/>
      <c r="M15" s="44"/>
      <c r="N15" s="44"/>
      <c r="O15" s="44"/>
      <c r="P15" s="44"/>
      <c r="Q15" s="44"/>
      <c r="R15" s="44"/>
      <c r="S15" s="44"/>
      <c r="T15" s="44"/>
      <c r="U15" s="44"/>
      <c r="V15" s="44"/>
      <c r="W15" s="44"/>
      <c r="X15" s="44"/>
      <c r="Y15" s="44"/>
      <c r="Z15" s="44"/>
      <c r="AA15" s="44"/>
      <c r="AB15" s="44"/>
      <c r="AC15" s="81"/>
    </row>
    <row r="16" spans="2:29" x14ac:dyDescent="0.25">
      <c r="B16" s="283" t="s">
        <v>4</v>
      </c>
      <c r="C16" s="284"/>
      <c r="D16" s="284"/>
      <c r="E16" s="42"/>
      <c r="F16" s="42"/>
      <c r="G16" s="42"/>
      <c r="H16" s="42"/>
      <c r="I16" s="42"/>
      <c r="J16" s="42"/>
      <c r="K16" s="42"/>
      <c r="L16" s="42"/>
      <c r="M16" s="42"/>
      <c r="N16" s="42"/>
      <c r="O16" s="42"/>
      <c r="P16" s="42"/>
      <c r="Q16" s="42"/>
      <c r="R16" s="42"/>
      <c r="S16" s="42"/>
      <c r="T16" s="42"/>
      <c r="U16" s="42"/>
      <c r="V16" s="42"/>
      <c r="W16" s="42"/>
      <c r="X16" s="42"/>
      <c r="Y16" s="42"/>
      <c r="Z16" s="42"/>
      <c r="AA16" s="42"/>
      <c r="AB16" s="42"/>
      <c r="AC16" s="78"/>
    </row>
    <row r="17" spans="2:29" x14ac:dyDescent="0.25">
      <c r="B17" s="285" t="s">
        <v>39</v>
      </c>
      <c r="C17" s="286"/>
      <c r="D17" s="286"/>
      <c r="E17" s="3">
        <f>IF(E4&lt;=INPUTS!$C$61,PMT(INPUTS!$C$62/2,INPUTS!$C$61*2,INPUTS!$C$57)*2,0)</f>
        <v>0</v>
      </c>
      <c r="F17" s="3">
        <f>IF(F4&lt;=INPUTS!$C$61,PMT(INPUTS!$C$62/2,INPUTS!$C$61*2,INPUTS!$C$57)*2,0)</f>
        <v>0</v>
      </c>
      <c r="G17" s="3">
        <f>IF(G4&lt;=INPUTS!$C$61,PMT(INPUTS!$C$62/2,INPUTS!$C$61*2,INPUTS!$C$57)*2,0)</f>
        <v>0</v>
      </c>
      <c r="H17" s="3">
        <f>IF(H4&lt;=INPUTS!$C$61,PMT(INPUTS!$C$62/2,INPUTS!$C$61*2,INPUTS!$C$57)*2,0)</f>
        <v>0</v>
      </c>
      <c r="I17" s="3">
        <f>IF(I4&lt;=INPUTS!$C$61,PMT(INPUTS!$C$62/2,INPUTS!$C$61*2,INPUTS!$C$57)*2,0)</f>
        <v>0</v>
      </c>
      <c r="J17" s="3">
        <f>IF(J4&lt;=INPUTS!$C$61,PMT(INPUTS!$C$62/2,INPUTS!$C$61*2,INPUTS!$C$57)*2,0)</f>
        <v>0</v>
      </c>
      <c r="K17" s="3">
        <f>IF(K4&lt;=INPUTS!$C$61,PMT(INPUTS!$C$62/2,INPUTS!$C$61*2,INPUTS!$C$57)*2,0)</f>
        <v>0</v>
      </c>
      <c r="L17" s="3">
        <f>IF(L4&lt;=INPUTS!$C$61,PMT(INPUTS!$C$62/2,INPUTS!$C$61*2,INPUTS!$C$57)*2,0)</f>
        <v>0</v>
      </c>
      <c r="M17" s="3">
        <f>IF(M4&lt;=INPUTS!$C$61,PMT(INPUTS!$C$62/2,INPUTS!$C$61*2,INPUTS!$C$57)*2,0)</f>
        <v>0</v>
      </c>
      <c r="N17" s="3">
        <f>IF(N4&lt;=INPUTS!$C$61,PMT(INPUTS!$C$62/2,INPUTS!$C$61*2,INPUTS!$C$57)*2,0)</f>
        <v>0</v>
      </c>
      <c r="O17" s="3">
        <f>IF(O4&lt;=INPUTS!$C$61,PMT(INPUTS!$C$62/2,INPUTS!$C$61*2,INPUTS!$C$57)*2,0)</f>
        <v>0</v>
      </c>
      <c r="P17" s="3">
        <f>IF(P4&lt;=INPUTS!$C$61,PMT(INPUTS!$C$62/2,INPUTS!$C$61*2,INPUTS!$C$57)*2,0)</f>
        <v>0</v>
      </c>
      <c r="Q17" s="3">
        <f>IF(Q4&lt;=INPUTS!$C$61,PMT(INPUTS!$C$62/2,INPUTS!$C$61*2,INPUTS!$C$57)*2,0)</f>
        <v>0</v>
      </c>
      <c r="R17" s="3">
        <f>IF(R4&lt;=INPUTS!$C$61,PMT(INPUTS!$C$62/2,INPUTS!$C$61*2,INPUTS!$C$57)*2,0)</f>
        <v>0</v>
      </c>
      <c r="S17" s="3">
        <f>IF(S4&lt;=INPUTS!$C$61,PMT(INPUTS!$C$62/2,INPUTS!$C$61*2,INPUTS!$C$57)*2,0)</f>
        <v>0</v>
      </c>
      <c r="T17" s="3">
        <f>IF(T4&lt;=INPUTS!$C$61,PMT(INPUTS!$C$62/2,INPUTS!$C$61*2,INPUTS!$C$57)*2,0)</f>
        <v>0</v>
      </c>
      <c r="U17" s="3">
        <f>IF(U4&lt;=INPUTS!$C$61,PMT(INPUTS!$C$62/2,INPUTS!$C$61*2,INPUTS!$C$57)*2,0)</f>
        <v>0</v>
      </c>
      <c r="V17" s="3">
        <f>IF(V4&lt;=INPUTS!$C$61,PMT(INPUTS!$C$62/2,INPUTS!$C$61*2,INPUTS!$C$57)*2,0)</f>
        <v>0</v>
      </c>
      <c r="W17" s="3">
        <f>IF(W4&lt;=INPUTS!$C$61,PMT(INPUTS!$C$62/2,INPUTS!$C$61*2,INPUTS!$C$57)*2,0)</f>
        <v>0</v>
      </c>
      <c r="X17" s="3">
        <f>IF(X4&lt;=INPUTS!$C$61,PMT(INPUTS!$C$62/2,INPUTS!$C$61*2,INPUTS!$C$57)*2,0)</f>
        <v>0</v>
      </c>
      <c r="Y17" s="3">
        <f>IF(Y4&lt;=INPUTS!$C$61,PMT(INPUTS!$C$62/2,INPUTS!$C$61*2,INPUTS!$C$57)*2,0)</f>
        <v>0</v>
      </c>
      <c r="Z17" s="3">
        <f>IF(Z4&lt;=INPUTS!$C$61,PMT(INPUTS!$C$62/2,INPUTS!$C$61*2,INPUTS!$C$57)*2,0)</f>
        <v>0</v>
      </c>
      <c r="AA17" s="3">
        <f>IF(AA4&lt;=INPUTS!$C$61,PMT(INPUTS!$C$62/2,INPUTS!$C$61*2,INPUTS!$C$57)*2,0)</f>
        <v>0</v>
      </c>
      <c r="AB17" s="3">
        <f>IF(AB4&lt;=INPUTS!$C$61,PMT(INPUTS!$C$62/2,INPUTS!$C$61*2,INPUTS!$C$57)*2,0)</f>
        <v>0</v>
      </c>
      <c r="AC17" s="3">
        <f>IF(AC4&lt;=INPUTS!$C$61,PMT(INPUTS!$C$62/2,INPUTS!$C$61*2,INPUTS!$C$57)*2,0)</f>
        <v>0</v>
      </c>
    </row>
    <row r="18" spans="2:29" s="161" customFormat="1" x14ac:dyDescent="0.25">
      <c r="B18" s="295" t="s">
        <v>63</v>
      </c>
      <c r="C18" s="296"/>
      <c r="D18" s="296"/>
      <c r="E18" s="159">
        <v>0</v>
      </c>
      <c r="F18" s="159">
        <v>0</v>
      </c>
      <c r="G18" s="159">
        <v>0</v>
      </c>
      <c r="H18" s="159">
        <v>0</v>
      </c>
      <c r="I18" s="159">
        <v>0</v>
      </c>
      <c r="J18" s="159">
        <v>0</v>
      </c>
      <c r="K18" s="159">
        <v>0</v>
      </c>
      <c r="L18" s="159">
        <v>0</v>
      </c>
      <c r="M18" s="159">
        <v>0</v>
      </c>
      <c r="N18" s="159">
        <v>0</v>
      </c>
      <c r="O18" s="159">
        <v>0</v>
      </c>
      <c r="P18" s="159">
        <v>0</v>
      </c>
      <c r="Q18" s="159">
        <v>0</v>
      </c>
      <c r="R18" s="159">
        <v>0</v>
      </c>
      <c r="S18" s="159">
        <v>0</v>
      </c>
      <c r="T18" s="159">
        <v>0</v>
      </c>
      <c r="U18" s="159">
        <v>0</v>
      </c>
      <c r="V18" s="159">
        <v>0</v>
      </c>
      <c r="W18" s="159">
        <v>0</v>
      </c>
      <c r="X18" s="159">
        <v>0</v>
      </c>
      <c r="Y18" s="159">
        <v>0</v>
      </c>
      <c r="Z18" s="159">
        <v>0</v>
      </c>
      <c r="AA18" s="159">
        <v>0</v>
      </c>
      <c r="AB18" s="159">
        <v>0</v>
      </c>
      <c r="AC18" s="160">
        <v>0</v>
      </c>
    </row>
    <row r="19" spans="2:29" x14ac:dyDescent="0.25">
      <c r="B19" s="285" t="s">
        <v>62</v>
      </c>
      <c r="C19" s="286"/>
      <c r="D19" s="286"/>
      <c r="E19" s="3">
        <f>E17+E18</f>
        <v>0</v>
      </c>
      <c r="F19" s="3">
        <f t="shared" ref="F19:AC19" si="3">F17+F18</f>
        <v>0</v>
      </c>
      <c r="G19" s="3">
        <f t="shared" si="3"/>
        <v>0</v>
      </c>
      <c r="H19" s="3">
        <f t="shared" si="3"/>
        <v>0</v>
      </c>
      <c r="I19" s="3">
        <f t="shared" si="3"/>
        <v>0</v>
      </c>
      <c r="J19" s="3">
        <f t="shared" si="3"/>
        <v>0</v>
      </c>
      <c r="K19" s="3">
        <f t="shared" si="3"/>
        <v>0</v>
      </c>
      <c r="L19" s="3">
        <f t="shared" si="3"/>
        <v>0</v>
      </c>
      <c r="M19" s="3">
        <f t="shared" si="3"/>
        <v>0</v>
      </c>
      <c r="N19" s="3">
        <f t="shared" si="3"/>
        <v>0</v>
      </c>
      <c r="O19" s="3">
        <f t="shared" si="3"/>
        <v>0</v>
      </c>
      <c r="P19" s="3">
        <f t="shared" si="3"/>
        <v>0</v>
      </c>
      <c r="Q19" s="3">
        <f t="shared" si="3"/>
        <v>0</v>
      </c>
      <c r="R19" s="3">
        <f t="shared" si="3"/>
        <v>0</v>
      </c>
      <c r="S19" s="3">
        <f t="shared" si="3"/>
        <v>0</v>
      </c>
      <c r="T19" s="3">
        <f t="shared" si="3"/>
        <v>0</v>
      </c>
      <c r="U19" s="3">
        <f t="shared" si="3"/>
        <v>0</v>
      </c>
      <c r="V19" s="3">
        <f t="shared" si="3"/>
        <v>0</v>
      </c>
      <c r="W19" s="3">
        <f t="shared" si="3"/>
        <v>0</v>
      </c>
      <c r="X19" s="3">
        <f t="shared" si="3"/>
        <v>0</v>
      </c>
      <c r="Y19" s="3">
        <f t="shared" si="3"/>
        <v>0</v>
      </c>
      <c r="Z19" s="3">
        <f t="shared" si="3"/>
        <v>0</v>
      </c>
      <c r="AA19" s="3">
        <f t="shared" si="3"/>
        <v>0</v>
      </c>
      <c r="AB19" s="3">
        <f t="shared" si="3"/>
        <v>0</v>
      </c>
      <c r="AC19" s="3">
        <f t="shared" si="3"/>
        <v>0</v>
      </c>
    </row>
    <row r="20" spans="2:29" x14ac:dyDescent="0.25">
      <c r="B20" s="287" t="s">
        <v>40</v>
      </c>
      <c r="C20" s="288"/>
      <c r="D20" s="288"/>
      <c r="E20" s="43">
        <f>E14-(-E17)</f>
        <v>0</v>
      </c>
      <c r="F20" s="43">
        <f t="shared" ref="F20:AC20" si="4">F14-(-F19)</f>
        <v>0</v>
      </c>
      <c r="G20" s="43">
        <f t="shared" si="4"/>
        <v>0</v>
      </c>
      <c r="H20" s="43">
        <f t="shared" si="4"/>
        <v>0</v>
      </c>
      <c r="I20" s="43">
        <f t="shared" si="4"/>
        <v>0</v>
      </c>
      <c r="J20" s="43">
        <f t="shared" si="4"/>
        <v>0</v>
      </c>
      <c r="K20" s="43">
        <f t="shared" si="4"/>
        <v>0</v>
      </c>
      <c r="L20" s="43">
        <f t="shared" si="4"/>
        <v>0</v>
      </c>
      <c r="M20" s="43">
        <f t="shared" si="4"/>
        <v>0</v>
      </c>
      <c r="N20" s="43">
        <f t="shared" si="4"/>
        <v>0</v>
      </c>
      <c r="O20" s="43">
        <f t="shared" si="4"/>
        <v>0</v>
      </c>
      <c r="P20" s="43">
        <f t="shared" si="4"/>
        <v>0</v>
      </c>
      <c r="Q20" s="43">
        <f t="shared" si="4"/>
        <v>0</v>
      </c>
      <c r="R20" s="43">
        <f t="shared" si="4"/>
        <v>0</v>
      </c>
      <c r="S20" s="43">
        <f t="shared" si="4"/>
        <v>0</v>
      </c>
      <c r="T20" s="43">
        <f t="shared" si="4"/>
        <v>0</v>
      </c>
      <c r="U20" s="43">
        <f t="shared" si="4"/>
        <v>0</v>
      </c>
      <c r="V20" s="43">
        <f t="shared" si="4"/>
        <v>0</v>
      </c>
      <c r="W20" s="43">
        <f t="shared" si="4"/>
        <v>0</v>
      </c>
      <c r="X20" s="43">
        <f t="shared" si="4"/>
        <v>0</v>
      </c>
      <c r="Y20" s="43">
        <f t="shared" si="4"/>
        <v>0</v>
      </c>
      <c r="Z20" s="43">
        <f t="shared" si="4"/>
        <v>0</v>
      </c>
      <c r="AA20" s="43">
        <f t="shared" si="4"/>
        <v>0</v>
      </c>
      <c r="AB20" s="43">
        <f t="shared" si="4"/>
        <v>0</v>
      </c>
      <c r="AC20" s="80">
        <f t="shared" si="4"/>
        <v>0</v>
      </c>
    </row>
    <row r="21" spans="2:29" x14ac:dyDescent="0.25">
      <c r="B21" s="289" t="s">
        <v>41</v>
      </c>
      <c r="C21" s="290"/>
      <c r="D21" s="290"/>
      <c r="E21" s="100">
        <f>E20</f>
        <v>0</v>
      </c>
      <c r="F21" s="100">
        <f t="shared" ref="F21:AC21" si="5">E21+F20</f>
        <v>0</v>
      </c>
      <c r="G21" s="100">
        <f t="shared" si="5"/>
        <v>0</v>
      </c>
      <c r="H21" s="100">
        <f t="shared" si="5"/>
        <v>0</v>
      </c>
      <c r="I21" s="100">
        <f t="shared" si="5"/>
        <v>0</v>
      </c>
      <c r="J21" s="100">
        <f t="shared" si="5"/>
        <v>0</v>
      </c>
      <c r="K21" s="100">
        <f t="shared" si="5"/>
        <v>0</v>
      </c>
      <c r="L21" s="100">
        <f t="shared" si="5"/>
        <v>0</v>
      </c>
      <c r="M21" s="100">
        <f t="shared" si="5"/>
        <v>0</v>
      </c>
      <c r="N21" s="100">
        <f t="shared" si="5"/>
        <v>0</v>
      </c>
      <c r="O21" s="100">
        <f t="shared" si="5"/>
        <v>0</v>
      </c>
      <c r="P21" s="100">
        <f t="shared" si="5"/>
        <v>0</v>
      </c>
      <c r="Q21" s="100">
        <f t="shared" si="5"/>
        <v>0</v>
      </c>
      <c r="R21" s="100">
        <f t="shared" si="5"/>
        <v>0</v>
      </c>
      <c r="S21" s="100">
        <f t="shared" si="5"/>
        <v>0</v>
      </c>
      <c r="T21" s="100">
        <f t="shared" si="5"/>
        <v>0</v>
      </c>
      <c r="U21" s="100">
        <f t="shared" si="5"/>
        <v>0</v>
      </c>
      <c r="V21" s="100">
        <f t="shared" si="5"/>
        <v>0</v>
      </c>
      <c r="W21" s="100">
        <f t="shared" si="5"/>
        <v>0</v>
      </c>
      <c r="X21" s="100">
        <f t="shared" si="5"/>
        <v>0</v>
      </c>
      <c r="Y21" s="100">
        <f t="shared" si="5"/>
        <v>0</v>
      </c>
      <c r="Z21" s="100">
        <f t="shared" si="5"/>
        <v>0</v>
      </c>
      <c r="AA21" s="100">
        <f t="shared" si="5"/>
        <v>0</v>
      </c>
      <c r="AB21" s="100">
        <f t="shared" si="5"/>
        <v>0</v>
      </c>
      <c r="AC21" s="102">
        <f t="shared" si="5"/>
        <v>0</v>
      </c>
    </row>
    <row r="22" spans="2:29" x14ac:dyDescent="0.25">
      <c r="B22" s="291" t="s">
        <v>6</v>
      </c>
      <c r="C22" s="292"/>
      <c r="D22" s="292"/>
      <c r="E22" s="4" t="e">
        <f t="shared" ref="E22:AC22" si="6">-SUM(E14/E19)</f>
        <v>#DIV/0!</v>
      </c>
      <c r="F22" s="4" t="e">
        <f t="shared" si="6"/>
        <v>#DIV/0!</v>
      </c>
      <c r="G22" s="4" t="e">
        <f t="shared" si="6"/>
        <v>#DIV/0!</v>
      </c>
      <c r="H22" s="4" t="e">
        <f t="shared" si="6"/>
        <v>#DIV/0!</v>
      </c>
      <c r="I22" s="4" t="e">
        <f t="shared" si="6"/>
        <v>#DIV/0!</v>
      </c>
      <c r="J22" s="4" t="e">
        <f t="shared" si="6"/>
        <v>#DIV/0!</v>
      </c>
      <c r="K22" s="4" t="e">
        <f t="shared" si="6"/>
        <v>#DIV/0!</v>
      </c>
      <c r="L22" s="4" t="e">
        <f t="shared" si="6"/>
        <v>#DIV/0!</v>
      </c>
      <c r="M22" s="4" t="e">
        <f t="shared" si="6"/>
        <v>#DIV/0!</v>
      </c>
      <c r="N22" s="4" t="e">
        <f t="shared" si="6"/>
        <v>#DIV/0!</v>
      </c>
      <c r="O22" s="4" t="e">
        <f t="shared" si="6"/>
        <v>#DIV/0!</v>
      </c>
      <c r="P22" s="4" t="e">
        <f t="shared" si="6"/>
        <v>#DIV/0!</v>
      </c>
      <c r="Q22" s="4" t="e">
        <f t="shared" si="6"/>
        <v>#DIV/0!</v>
      </c>
      <c r="R22" s="4" t="e">
        <f t="shared" si="6"/>
        <v>#DIV/0!</v>
      </c>
      <c r="S22" s="4" t="e">
        <f t="shared" si="6"/>
        <v>#DIV/0!</v>
      </c>
      <c r="T22" s="4" t="e">
        <f t="shared" si="6"/>
        <v>#DIV/0!</v>
      </c>
      <c r="U22" s="4" t="e">
        <f t="shared" si="6"/>
        <v>#DIV/0!</v>
      </c>
      <c r="V22" s="4" t="e">
        <f t="shared" si="6"/>
        <v>#DIV/0!</v>
      </c>
      <c r="W22" s="4" t="e">
        <f t="shared" si="6"/>
        <v>#DIV/0!</v>
      </c>
      <c r="X22" s="4" t="e">
        <f t="shared" si="6"/>
        <v>#DIV/0!</v>
      </c>
      <c r="Y22" s="4" t="e">
        <f t="shared" si="6"/>
        <v>#DIV/0!</v>
      </c>
      <c r="Z22" s="4" t="e">
        <f t="shared" si="6"/>
        <v>#DIV/0!</v>
      </c>
      <c r="AA22" s="4" t="e">
        <f t="shared" si="6"/>
        <v>#DIV/0!</v>
      </c>
      <c r="AB22" s="4" t="e">
        <f t="shared" si="6"/>
        <v>#DIV/0!</v>
      </c>
      <c r="AC22" s="82" t="e">
        <f t="shared" si="6"/>
        <v>#DIV/0!</v>
      </c>
    </row>
    <row r="23" spans="2:29" ht="15.75" thickBot="1" x14ac:dyDescent="0.3">
      <c r="B23" s="293"/>
      <c r="C23" s="294"/>
      <c r="D23" s="294"/>
      <c r="E23" s="147"/>
      <c r="F23" s="147"/>
      <c r="G23" s="33"/>
      <c r="H23" s="147"/>
      <c r="I23" s="147"/>
      <c r="J23" s="147"/>
      <c r="K23" s="147"/>
      <c r="L23" s="147"/>
      <c r="M23" s="147"/>
      <c r="N23" s="147"/>
      <c r="O23" s="147"/>
      <c r="P23" s="147"/>
      <c r="Q23" s="147"/>
      <c r="R23" s="147"/>
      <c r="S23" s="147"/>
      <c r="T23" s="147"/>
      <c r="U23" s="147"/>
      <c r="V23" s="147"/>
      <c r="W23" s="147"/>
      <c r="X23" s="147" t="s">
        <v>2</v>
      </c>
      <c r="Y23" s="147" t="s">
        <v>2</v>
      </c>
      <c r="Z23" s="147" t="s">
        <v>2</v>
      </c>
      <c r="AA23" s="147" t="s">
        <v>2</v>
      </c>
      <c r="AB23" s="147" t="s">
        <v>2</v>
      </c>
      <c r="AC23" s="36" t="s">
        <v>2</v>
      </c>
    </row>
    <row r="24" spans="2:29" ht="15.75" thickBot="1" x14ac:dyDescent="0.3">
      <c r="B24" s="278" t="s">
        <v>99</v>
      </c>
      <c r="C24" s="279"/>
      <c r="D24" s="279"/>
      <c r="E24" s="279"/>
      <c r="F24" s="280"/>
      <c r="G24" s="147"/>
      <c r="H24" s="147"/>
      <c r="I24" s="147"/>
      <c r="J24" s="147"/>
      <c r="K24" s="147"/>
      <c r="L24" s="147"/>
      <c r="M24" s="147"/>
      <c r="N24" s="147"/>
      <c r="O24" s="147"/>
      <c r="P24" s="147"/>
      <c r="Q24" s="147"/>
      <c r="R24" s="147"/>
      <c r="S24" s="147"/>
      <c r="T24" s="147"/>
      <c r="U24" s="147"/>
      <c r="V24" s="147"/>
      <c r="W24" s="147"/>
      <c r="X24" s="147"/>
      <c r="Y24" s="147"/>
      <c r="Z24" s="147"/>
      <c r="AA24" s="147"/>
      <c r="AB24" s="147"/>
      <c r="AC24" s="36"/>
    </row>
    <row r="25" spans="2:29" x14ac:dyDescent="0.25">
      <c r="B25" s="258" t="s">
        <v>8</v>
      </c>
      <c r="C25" s="259"/>
      <c r="D25" s="259"/>
      <c r="E25" s="260">
        <f>SUM(E14:AC14)</f>
        <v>0</v>
      </c>
      <c r="F25" s="261"/>
      <c r="G25" t="s">
        <v>12</v>
      </c>
      <c r="K25" s="147"/>
      <c r="L25" s="147"/>
      <c r="M25" s="147"/>
      <c r="N25" s="147"/>
      <c r="O25" s="147"/>
      <c r="P25" s="147"/>
      <c r="Q25" s="147"/>
      <c r="R25" s="147"/>
      <c r="S25" s="147"/>
      <c r="T25" s="147"/>
      <c r="U25" s="147"/>
      <c r="V25" s="147"/>
      <c r="W25" s="147"/>
      <c r="X25" s="147"/>
      <c r="Y25" s="147"/>
      <c r="Z25" s="147"/>
      <c r="AA25" s="147"/>
      <c r="AB25" s="147"/>
      <c r="AC25" s="36"/>
    </row>
    <row r="26" spans="2:29" x14ac:dyDescent="0.25">
      <c r="B26" s="262" t="s">
        <v>9</v>
      </c>
      <c r="C26" s="263"/>
      <c r="D26" s="263"/>
      <c r="E26" s="264">
        <f>-SUM(E19:AC19)</f>
        <v>0</v>
      </c>
      <c r="F26" s="265"/>
      <c r="G26" s="147"/>
      <c r="H26" s="147"/>
      <c r="I26" s="147"/>
      <c r="J26" s="147"/>
      <c r="K26" s="147"/>
      <c r="L26" s="147"/>
      <c r="M26" s="147"/>
      <c r="N26" s="147"/>
      <c r="O26" s="147"/>
      <c r="P26" s="147"/>
      <c r="Q26" s="147"/>
      <c r="R26" s="147"/>
      <c r="S26" s="147"/>
      <c r="T26" s="147"/>
      <c r="U26" s="147"/>
      <c r="V26" s="147"/>
      <c r="W26" s="147"/>
      <c r="X26" s="147"/>
      <c r="Y26" s="147"/>
      <c r="Z26" s="147"/>
      <c r="AA26" s="147"/>
      <c r="AB26" s="147"/>
      <c r="AC26" s="36"/>
    </row>
    <row r="27" spans="2:29" ht="14.65" customHeight="1" thickBot="1" x14ac:dyDescent="0.3">
      <c r="B27" s="266" t="s">
        <v>102</v>
      </c>
      <c r="C27" s="267"/>
      <c r="D27" s="267"/>
      <c r="E27" s="268" t="e">
        <f>E25/E26</f>
        <v>#DIV/0!</v>
      </c>
      <c r="F27" s="269"/>
      <c r="G27" s="37"/>
      <c r="H27" s="37"/>
      <c r="I27" s="37"/>
      <c r="J27" s="37"/>
      <c r="K27" s="37"/>
      <c r="L27" s="37"/>
      <c r="M27" s="37"/>
      <c r="N27" s="37"/>
      <c r="O27" s="37"/>
      <c r="P27" s="37"/>
      <c r="Q27" s="37"/>
      <c r="R27" s="37"/>
      <c r="S27" s="37"/>
      <c r="T27" s="37"/>
      <c r="U27" s="37"/>
      <c r="V27" s="37"/>
      <c r="W27" s="37"/>
      <c r="X27" s="37"/>
      <c r="Y27" s="37"/>
      <c r="Z27" s="37"/>
      <c r="AA27" s="37"/>
      <c r="AB27" s="37"/>
      <c r="AC27" s="38"/>
    </row>
    <row r="28" spans="2:29" x14ac:dyDescent="0.25">
      <c r="E28" s="30"/>
    </row>
    <row r="29" spans="2:29" x14ac:dyDescent="0.25">
      <c r="E29" s="30"/>
      <c r="O29" t="s">
        <v>2</v>
      </c>
      <c r="R29" s="201"/>
    </row>
    <row r="30" spans="2:29" x14ac:dyDescent="0.25">
      <c r="B30" s="256"/>
      <c r="C30" s="256"/>
      <c r="D30" s="256"/>
      <c r="E30" s="201"/>
      <c r="R30" s="201"/>
    </row>
    <row r="33" spans="2:4" x14ac:dyDescent="0.25">
      <c r="B33" s="257"/>
      <c r="C33" s="257"/>
      <c r="D33" s="257"/>
    </row>
    <row r="34" spans="2:4" x14ac:dyDescent="0.25">
      <c r="B34" s="257"/>
      <c r="C34" s="257"/>
      <c r="D34" s="257"/>
    </row>
    <row r="35" spans="2:4" x14ac:dyDescent="0.25">
      <c r="B35" s="257"/>
      <c r="C35" s="257"/>
      <c r="D35" s="257"/>
    </row>
  </sheetData>
  <sheetProtection algorithmName="SHA-512" hashValue="FFG+etcK6PehFm7Dq9CEl0gECtw7EANrL4g7pDStlS4tZIyJi5PGsXRqrl5KOnzzCpAFl2fdRVRZTVo8aEtY0g==" saltValue="FqjT8rsZPcUem9O1OcmFzQ==" spinCount="100000" sheet="1" objects="1" scenarios="1"/>
  <mergeCells count="28">
    <mergeCell ref="B10:D10"/>
    <mergeCell ref="B4:C4"/>
    <mergeCell ref="B6:D6"/>
    <mergeCell ref="B7:D7"/>
    <mergeCell ref="B8:D8"/>
    <mergeCell ref="B9:D9"/>
    <mergeCell ref="B24:F24"/>
    <mergeCell ref="B11:D11"/>
    <mergeCell ref="B13:D13"/>
    <mergeCell ref="B14:D14"/>
    <mergeCell ref="B16:D16"/>
    <mergeCell ref="B17:D17"/>
    <mergeCell ref="B18:D18"/>
    <mergeCell ref="B19:D19"/>
    <mergeCell ref="B20:D20"/>
    <mergeCell ref="B21:D21"/>
    <mergeCell ref="B22:D22"/>
    <mergeCell ref="B23:D23"/>
    <mergeCell ref="E25:F25"/>
    <mergeCell ref="B26:D26"/>
    <mergeCell ref="E26:F26"/>
    <mergeCell ref="B27:D27"/>
    <mergeCell ref="E27:F27"/>
    <mergeCell ref="B30:D30"/>
    <mergeCell ref="B33:D33"/>
    <mergeCell ref="B34:D34"/>
    <mergeCell ref="B35:D35"/>
    <mergeCell ref="B25:D25"/>
  </mergeCells>
  <conditionalFormatting sqref="E22:AC22">
    <cfRule type="cellIs" dxfId="3" priority="3" operator="lessThan">
      <formula>1</formula>
    </cfRule>
    <cfRule type="cellIs" dxfId="2" priority="4" operator="greaterThan">
      <formula>1</formula>
    </cfRule>
  </conditionalFormatting>
  <conditionalFormatting sqref="E27">
    <cfRule type="cellIs" dxfId="1" priority="1" operator="lessThan">
      <formula>1</formula>
    </cfRule>
    <cfRule type="cellIs" dxfId="0" priority="2" operator="greaterThan">
      <formula>1</formula>
    </cfRule>
  </conditionalFormatting>
  <pageMargins left="0.25" right="0.25" top="0.75" bottom="0.75" header="0.3" footer="0.3"/>
  <pageSetup scale="3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35970-4410-4852-9707-70930FB5D461}">
  <sheetPr codeName="Sheet9">
    <tabColor rgb="FFFF3300"/>
  </sheetPr>
  <dimension ref="A1:AH4"/>
  <sheetViews>
    <sheetView zoomScale="85" zoomScaleNormal="85" workbookViewId="0">
      <selection activeCell="B23" sqref="B23"/>
    </sheetView>
  </sheetViews>
  <sheetFormatPr defaultColWidth="8.5703125" defaultRowHeight="14.25" x14ac:dyDescent="0.2"/>
  <cols>
    <col min="1" max="1" width="50.42578125" style="144" bestFit="1" customWidth="1"/>
    <col min="2" max="2" width="14" style="144" bestFit="1" customWidth="1"/>
    <col min="3" max="3" width="14.42578125" style="144" customWidth="1"/>
    <col min="4" max="4" width="15.42578125" style="144" bestFit="1" customWidth="1"/>
    <col min="5" max="5" width="11.42578125" style="144" customWidth="1"/>
    <col min="6" max="6" width="11.42578125" style="144" bestFit="1" customWidth="1"/>
    <col min="7" max="7" width="10.7109375" style="144" bestFit="1" customWidth="1"/>
    <col min="8" max="8" width="5.42578125" style="45" customWidth="1"/>
    <col min="9" max="9" width="11" style="45" bestFit="1" customWidth="1"/>
    <col min="10" max="10" width="30.42578125" style="45" bestFit="1" customWidth="1"/>
    <col min="11" max="11" width="11.5703125" style="45" bestFit="1" customWidth="1"/>
    <col min="12" max="12" width="11.7109375" style="45" bestFit="1" customWidth="1"/>
    <col min="13" max="34" width="14.42578125" style="45" bestFit="1" customWidth="1"/>
    <col min="35" max="16384" width="8.5703125" style="45"/>
  </cols>
  <sheetData>
    <row r="1" spans="1:34" ht="15" thickBot="1" x14ac:dyDescent="0.25">
      <c r="J1" s="45" t="s">
        <v>64</v>
      </c>
    </row>
    <row r="2" spans="1:34" ht="36" x14ac:dyDescent="0.2">
      <c r="A2" s="175" t="s">
        <v>84</v>
      </c>
      <c r="B2" s="176" t="s">
        <v>83</v>
      </c>
      <c r="C2" s="176" t="s">
        <v>92</v>
      </c>
      <c r="D2" s="177" t="s">
        <v>107</v>
      </c>
      <c r="E2" s="177" t="s">
        <v>79</v>
      </c>
      <c r="F2" s="178" t="s">
        <v>56</v>
      </c>
      <c r="I2" s="56" t="s">
        <v>80</v>
      </c>
      <c r="J2" s="55">
        <v>1</v>
      </c>
      <c r="K2" s="55">
        <v>2</v>
      </c>
      <c r="L2" s="55">
        <v>3</v>
      </c>
      <c r="M2" s="55">
        <v>4</v>
      </c>
      <c r="N2" s="55">
        <v>5</v>
      </c>
      <c r="O2" s="55">
        <v>6</v>
      </c>
      <c r="P2" s="55">
        <v>7</v>
      </c>
      <c r="Q2" s="55">
        <v>8</v>
      </c>
      <c r="R2" s="55">
        <v>9</v>
      </c>
      <c r="S2" s="55">
        <v>10</v>
      </c>
      <c r="T2" s="55">
        <v>11</v>
      </c>
      <c r="U2" s="55">
        <v>12</v>
      </c>
      <c r="V2" s="55">
        <v>13</v>
      </c>
      <c r="W2" s="55">
        <v>14</v>
      </c>
      <c r="X2" s="55">
        <v>15</v>
      </c>
      <c r="Y2" s="55">
        <v>16</v>
      </c>
      <c r="Z2" s="55">
        <v>17</v>
      </c>
      <c r="AA2" s="55">
        <v>18</v>
      </c>
      <c r="AB2" s="55">
        <v>19</v>
      </c>
      <c r="AC2" s="55">
        <v>20</v>
      </c>
      <c r="AD2" s="55">
        <v>21</v>
      </c>
      <c r="AE2" s="55">
        <v>22</v>
      </c>
      <c r="AF2" s="55">
        <v>23</v>
      </c>
      <c r="AG2" s="55">
        <v>24</v>
      </c>
      <c r="AH2" s="55">
        <v>25</v>
      </c>
    </row>
    <row r="3" spans="1:34" ht="15" thickBot="1" x14ac:dyDescent="0.25">
      <c r="A3" s="179" t="s">
        <v>64</v>
      </c>
      <c r="B3" s="180">
        <f>INPUTS!C35</f>
        <v>0</v>
      </c>
      <c r="C3" s="181">
        <f>B3*INPUTS!C20</f>
        <v>0</v>
      </c>
      <c r="D3" s="181">
        <f>INPUTS!C51</f>
        <v>0</v>
      </c>
      <c r="E3" s="182">
        <f>INPUTS!$C$45</f>
        <v>5.0000000000000001E-3</v>
      </c>
      <c r="F3" s="183">
        <f>INPUTS!C44</f>
        <v>0</v>
      </c>
      <c r="I3" s="142" t="s">
        <v>64</v>
      </c>
      <c r="J3" s="143">
        <f>B3</f>
        <v>0</v>
      </c>
      <c r="K3" s="143">
        <f>IF(K2&lt;=$F$3,J3*(1-$E$3),0)</f>
        <v>0</v>
      </c>
      <c r="L3" s="143">
        <f t="shared" ref="L3:AG3" si="0">IF(L2&lt;=$F$3,K3*(1-$E$3),0)</f>
        <v>0</v>
      </c>
      <c r="M3" s="143">
        <f t="shared" si="0"/>
        <v>0</v>
      </c>
      <c r="N3" s="143">
        <f t="shared" si="0"/>
        <v>0</v>
      </c>
      <c r="O3" s="143">
        <f t="shared" si="0"/>
        <v>0</v>
      </c>
      <c r="P3" s="143">
        <f t="shared" si="0"/>
        <v>0</v>
      </c>
      <c r="Q3" s="143">
        <f t="shared" si="0"/>
        <v>0</v>
      </c>
      <c r="R3" s="143">
        <f t="shared" si="0"/>
        <v>0</v>
      </c>
      <c r="S3" s="143">
        <f t="shared" si="0"/>
        <v>0</v>
      </c>
      <c r="T3" s="143">
        <f t="shared" si="0"/>
        <v>0</v>
      </c>
      <c r="U3" s="143">
        <f t="shared" si="0"/>
        <v>0</v>
      </c>
      <c r="V3" s="143">
        <f t="shared" si="0"/>
        <v>0</v>
      </c>
      <c r="W3" s="143">
        <f t="shared" si="0"/>
        <v>0</v>
      </c>
      <c r="X3" s="143">
        <f t="shared" si="0"/>
        <v>0</v>
      </c>
      <c r="Y3" s="143">
        <f t="shared" si="0"/>
        <v>0</v>
      </c>
      <c r="Z3" s="143">
        <f t="shared" si="0"/>
        <v>0</v>
      </c>
      <c r="AA3" s="143">
        <f t="shared" si="0"/>
        <v>0</v>
      </c>
      <c r="AB3" s="143">
        <f t="shared" si="0"/>
        <v>0</v>
      </c>
      <c r="AC3" s="143">
        <f t="shared" si="0"/>
        <v>0</v>
      </c>
      <c r="AD3" s="143">
        <f t="shared" si="0"/>
        <v>0</v>
      </c>
      <c r="AE3" s="143">
        <f t="shared" si="0"/>
        <v>0</v>
      </c>
      <c r="AF3" s="143">
        <f t="shared" si="0"/>
        <v>0</v>
      </c>
      <c r="AG3" s="143">
        <f t="shared" si="0"/>
        <v>0</v>
      </c>
      <c r="AH3" s="143">
        <f>IF(AH2&lt;=$F$3,AG3*(1-$E$3),0)</f>
        <v>0</v>
      </c>
    </row>
    <row r="4" spans="1:34" ht="15" x14ac:dyDescent="0.25">
      <c r="E4" s="152"/>
      <c r="F4" s="152"/>
    </row>
  </sheetData>
  <sheetProtection algorithmName="SHA-512" hashValue="67v2atYgM44fyhIXqP3FGBJYP8mGuGqDVhEXHMYijFbFwdzYmeX5lM4hq/ap9TkBvN4gjvAdhckF8mduZ7PYig==" saltValue="5xkJWInsoGSY0RY9GKT4HA==" spinCount="100000" sheet="1" formatCells="0" formatColumns="0" formatRows="0" insertColumns="0" insertRows="0" insertHyperlinks="0" deleteColumns="0" deleteRows="0" selectLockedCells="1" sort="0" autoFilter="0" pivotTables="0"/>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6E71E-2C91-413A-B420-86C52445AA3B}">
  <sheetPr codeName="Sheet10">
    <tabColor rgb="FFFF3300"/>
  </sheetPr>
  <dimension ref="B2:F43"/>
  <sheetViews>
    <sheetView workbookViewId="0">
      <selection activeCell="F10" sqref="F10"/>
    </sheetView>
  </sheetViews>
  <sheetFormatPr defaultColWidth="9.28515625" defaultRowHeight="15" x14ac:dyDescent="0.25"/>
  <cols>
    <col min="2" max="2" width="17" bestFit="1" customWidth="1"/>
    <col min="3" max="3" width="37.28515625" customWidth="1"/>
    <col min="4" max="4" width="13.5703125" bestFit="1" customWidth="1"/>
    <col min="5" max="5" width="26" bestFit="1" customWidth="1"/>
    <col min="6" max="6" width="12.28515625" bestFit="1" customWidth="1"/>
  </cols>
  <sheetData>
    <row r="2" spans="2:6" x14ac:dyDescent="0.25">
      <c r="B2" s="57" t="s">
        <v>33</v>
      </c>
      <c r="C2" s="7"/>
      <c r="E2" s="7"/>
      <c r="F2" s="7"/>
    </row>
    <row r="3" spans="2:6" x14ac:dyDescent="0.25">
      <c r="B3" s="184">
        <f>INPUTS!C55</f>
        <v>0</v>
      </c>
      <c r="C3" s="7"/>
      <c r="E3" s="7"/>
      <c r="F3" s="7"/>
    </row>
    <row r="4" spans="2:6" x14ac:dyDescent="0.25">
      <c r="B4" s="58"/>
      <c r="C4" s="7"/>
      <c r="E4" s="7"/>
      <c r="F4" s="7"/>
    </row>
    <row r="5" spans="2:6" ht="15.75" thickBot="1" x14ac:dyDescent="0.3">
      <c r="B5" s="185" t="s">
        <v>85</v>
      </c>
      <c r="C5" s="186" t="s">
        <v>86</v>
      </c>
      <c r="D5" s="185" t="s">
        <v>87</v>
      </c>
      <c r="E5" s="185" t="s">
        <v>88</v>
      </c>
      <c r="F5" s="185" t="s">
        <v>89</v>
      </c>
    </row>
    <row r="6" spans="2:6" x14ac:dyDescent="0.25">
      <c r="B6" s="18">
        <f>IF($B$3&lt;=C6,B3,0)</f>
        <v>0</v>
      </c>
      <c r="C6" s="187">
        <v>500000</v>
      </c>
      <c r="D6" s="187">
        <v>0</v>
      </c>
      <c r="E6" s="188">
        <v>0.03</v>
      </c>
      <c r="F6" s="18">
        <f>IF(B6&gt;0,D6+B6*E6,0)</f>
        <v>0</v>
      </c>
    </row>
    <row r="7" spans="2:6" x14ac:dyDescent="0.25">
      <c r="B7" s="18">
        <f>IF(AND($B$3&gt;C6,$B$3&lt;=C7),$B$3,0)</f>
        <v>0</v>
      </c>
      <c r="C7" s="187">
        <v>1000000</v>
      </c>
      <c r="D7" s="187">
        <v>15000</v>
      </c>
      <c r="E7" s="188">
        <v>2.5000000000000001E-2</v>
      </c>
      <c r="F7" s="18">
        <f>IF(B7&gt;0,D7+E7*(B7-C6),0)</f>
        <v>0</v>
      </c>
    </row>
    <row r="8" spans="2:6" x14ac:dyDescent="0.25">
      <c r="B8" s="18">
        <f>IF(B3&gt;C7,B3,0)</f>
        <v>0</v>
      </c>
      <c r="C8" s="187">
        <v>1000000</v>
      </c>
      <c r="D8" s="187">
        <v>27500</v>
      </c>
      <c r="E8" s="188">
        <v>0.02</v>
      </c>
      <c r="F8" s="18">
        <f>IF(B8&gt;0,D8+E8*(B8-C7),0)</f>
        <v>0</v>
      </c>
    </row>
    <row r="9" spans="2:6" ht="15.75" thickBot="1" x14ac:dyDescent="0.3">
      <c r="C9" s="7"/>
      <c r="D9" s="18"/>
      <c r="F9" s="7"/>
    </row>
    <row r="10" spans="2:6" ht="15.75" thickBot="1" x14ac:dyDescent="0.3">
      <c r="C10" s="7"/>
      <c r="D10" s="18"/>
      <c r="E10" s="189" t="s">
        <v>90</v>
      </c>
      <c r="F10" s="190">
        <f>ROUND(SUM(F6:F9),2)</f>
        <v>0</v>
      </c>
    </row>
    <row r="13" spans="2:6" x14ac:dyDescent="0.25">
      <c r="C13" s="191"/>
    </row>
    <row r="14" spans="2:6" x14ac:dyDescent="0.25">
      <c r="C14" s="192"/>
    </row>
    <row r="16" spans="2:6" x14ac:dyDescent="0.25">
      <c r="C16" s="192"/>
    </row>
    <row r="17" spans="2:5" x14ac:dyDescent="0.25">
      <c r="C17" s="13"/>
    </row>
    <row r="18" spans="2:5" x14ac:dyDescent="0.25">
      <c r="C18" s="13"/>
    </row>
    <row r="20" spans="2:5" x14ac:dyDescent="0.25">
      <c r="B20" s="193"/>
      <c r="C20" s="193"/>
      <c r="D20" s="193"/>
      <c r="E20" s="193"/>
    </row>
    <row r="21" spans="2:5" x14ac:dyDescent="0.25">
      <c r="B21" s="193"/>
      <c r="C21" s="193"/>
      <c r="D21" s="193"/>
      <c r="E21" s="193"/>
    </row>
    <row r="22" spans="2:5" x14ac:dyDescent="0.25">
      <c r="B22" s="193"/>
      <c r="C22" s="193"/>
      <c r="D22" s="193"/>
      <c r="E22" s="193"/>
    </row>
    <row r="23" spans="2:5" x14ac:dyDescent="0.25">
      <c r="B23" s="193"/>
      <c r="C23" s="193"/>
      <c r="D23" s="193"/>
      <c r="E23" s="193"/>
    </row>
    <row r="24" spans="2:5" x14ac:dyDescent="0.25">
      <c r="B24" s="193"/>
      <c r="C24" s="193"/>
      <c r="D24" s="193"/>
      <c r="E24" s="193"/>
    </row>
    <row r="25" spans="2:5" x14ac:dyDescent="0.25">
      <c r="B25" s="193"/>
      <c r="C25" s="193"/>
      <c r="D25" s="193"/>
      <c r="E25" s="193"/>
    </row>
    <row r="26" spans="2:5" x14ac:dyDescent="0.25">
      <c r="B26" s="193"/>
      <c r="C26" s="193"/>
      <c r="D26" s="193"/>
      <c r="E26" s="193"/>
    </row>
    <row r="27" spans="2:5" x14ac:dyDescent="0.25">
      <c r="B27" s="193"/>
      <c r="C27" s="193"/>
      <c r="D27" s="193"/>
      <c r="E27" s="193"/>
    </row>
    <row r="28" spans="2:5" x14ac:dyDescent="0.25">
      <c r="B28" s="193"/>
      <c r="C28" s="193"/>
      <c r="D28" s="193"/>
      <c r="E28" s="193"/>
    </row>
    <row r="29" spans="2:5" x14ac:dyDescent="0.25">
      <c r="B29" s="193"/>
      <c r="C29" s="193"/>
      <c r="D29" s="193"/>
      <c r="E29" s="193"/>
    </row>
    <row r="30" spans="2:5" x14ac:dyDescent="0.25">
      <c r="B30" s="193"/>
      <c r="C30" s="193"/>
      <c r="D30" s="193"/>
      <c r="E30" s="193"/>
    </row>
    <row r="31" spans="2:5" x14ac:dyDescent="0.25">
      <c r="B31" s="193"/>
      <c r="C31" s="193"/>
      <c r="D31" s="193"/>
      <c r="E31" s="193"/>
    </row>
    <row r="32" spans="2:5" x14ac:dyDescent="0.25">
      <c r="B32" s="193"/>
      <c r="C32" s="193"/>
      <c r="D32" s="193"/>
      <c r="E32" s="193"/>
    </row>
    <row r="33" spans="2:5" x14ac:dyDescent="0.25">
      <c r="B33" s="193"/>
      <c r="C33" s="193"/>
      <c r="D33" s="193"/>
      <c r="E33" s="193"/>
    </row>
    <row r="34" spans="2:5" x14ac:dyDescent="0.25">
      <c r="B34" s="193"/>
      <c r="C34" s="193"/>
      <c r="D34" s="193"/>
      <c r="E34" s="193"/>
    </row>
    <row r="35" spans="2:5" x14ac:dyDescent="0.25">
      <c r="B35" s="193"/>
      <c r="C35" s="193"/>
      <c r="D35" s="193"/>
      <c r="E35" s="193"/>
    </row>
    <row r="36" spans="2:5" x14ac:dyDescent="0.25">
      <c r="B36" s="193"/>
      <c r="C36" s="193"/>
      <c r="D36" s="193"/>
      <c r="E36" s="193"/>
    </row>
    <row r="37" spans="2:5" x14ac:dyDescent="0.25">
      <c r="B37" s="193"/>
      <c r="C37" s="193"/>
      <c r="D37" s="193"/>
      <c r="E37" s="193"/>
    </row>
    <row r="38" spans="2:5" x14ac:dyDescent="0.25">
      <c r="B38" s="193"/>
      <c r="C38" s="193"/>
      <c r="D38" s="193"/>
      <c r="E38" s="193"/>
    </row>
    <row r="39" spans="2:5" x14ac:dyDescent="0.25">
      <c r="B39" s="193"/>
      <c r="C39" s="193"/>
      <c r="D39" s="193"/>
      <c r="E39" s="193"/>
    </row>
    <row r="40" spans="2:5" x14ac:dyDescent="0.25">
      <c r="B40" s="193"/>
      <c r="C40" s="193"/>
      <c r="D40" s="193"/>
      <c r="E40" s="193"/>
    </row>
    <row r="41" spans="2:5" x14ac:dyDescent="0.25">
      <c r="B41" s="193"/>
      <c r="C41" s="193"/>
      <c r="D41" s="193"/>
      <c r="E41" s="193"/>
    </row>
    <row r="42" spans="2:5" x14ac:dyDescent="0.25">
      <c r="B42" s="193"/>
      <c r="C42" s="193"/>
      <c r="D42" s="193"/>
      <c r="E42" s="193"/>
    </row>
    <row r="43" spans="2:5" x14ac:dyDescent="0.25">
      <c r="B43" s="193"/>
      <c r="C43" s="193"/>
      <c r="D43" s="193"/>
      <c r="E43" s="193"/>
    </row>
  </sheetData>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rgb="FFFF3300"/>
  </sheetPr>
  <dimension ref="B1:I16"/>
  <sheetViews>
    <sheetView zoomScale="115" zoomScaleNormal="115" workbookViewId="0"/>
  </sheetViews>
  <sheetFormatPr defaultColWidth="8.7109375" defaultRowHeight="15" x14ac:dyDescent="0.25"/>
  <cols>
    <col min="1" max="1" width="2.7109375" customWidth="1"/>
    <col min="2" max="2" width="35.7109375" customWidth="1"/>
    <col min="3" max="3" width="15.7109375" customWidth="1"/>
    <col min="4" max="9" width="10.7109375" customWidth="1"/>
  </cols>
  <sheetData>
    <row r="1" spans="2:9" ht="18.75" x14ac:dyDescent="0.3">
      <c r="B1" s="5" t="s">
        <v>101</v>
      </c>
    </row>
    <row r="2" spans="2:9" ht="19.5" thickBot="1" x14ac:dyDescent="0.35">
      <c r="B2" s="5"/>
    </row>
    <row r="3" spans="2:9" ht="18" customHeight="1" x14ac:dyDescent="0.25">
      <c r="B3" s="117" t="s">
        <v>24</v>
      </c>
      <c r="C3" s="118">
        <f>INPUTS!C28</f>
        <v>0.3</v>
      </c>
      <c r="D3" s="119"/>
      <c r="E3" s="119"/>
      <c r="F3" s="119"/>
      <c r="G3" s="119"/>
      <c r="H3" s="119"/>
      <c r="I3" s="120"/>
    </row>
    <row r="4" spans="2:9" x14ac:dyDescent="0.25">
      <c r="B4" s="121" t="s">
        <v>14</v>
      </c>
      <c r="C4" s="122">
        <f>IF(INPUTS!C25="Y",INPUTS!C36*'TAX BENEFITS'!C3,0)</f>
        <v>0</v>
      </c>
      <c r="D4" s="123"/>
      <c r="E4" s="123"/>
      <c r="F4" s="123"/>
      <c r="G4" s="123"/>
      <c r="H4" s="123"/>
      <c r="I4" s="124"/>
    </row>
    <row r="5" spans="2:9" x14ac:dyDescent="0.25">
      <c r="B5" s="121" t="s">
        <v>59</v>
      </c>
      <c r="C5" s="122">
        <f>INPUTS!C37</f>
        <v>0</v>
      </c>
      <c r="D5" s="123"/>
      <c r="E5" s="123"/>
      <c r="F5" s="123"/>
      <c r="G5" s="123"/>
      <c r="H5" s="123"/>
      <c r="I5" s="124"/>
    </row>
    <row r="6" spans="2:9" x14ac:dyDescent="0.25">
      <c r="B6" s="121" t="s">
        <v>22</v>
      </c>
      <c r="C6" s="125">
        <f>INPUTS!C27</f>
        <v>0</v>
      </c>
      <c r="D6" s="123"/>
      <c r="E6" s="123"/>
      <c r="F6" s="123"/>
      <c r="G6" s="123"/>
      <c r="H6" s="123"/>
      <c r="I6" s="124"/>
    </row>
    <row r="7" spans="2:9" x14ac:dyDescent="0.25">
      <c r="B7" s="121"/>
      <c r="C7" s="125"/>
      <c r="D7" s="123"/>
      <c r="E7" s="123"/>
      <c r="F7" s="123"/>
      <c r="G7" s="123"/>
      <c r="H7" s="123"/>
      <c r="I7" s="124"/>
    </row>
    <row r="8" spans="2:9" x14ac:dyDescent="0.25">
      <c r="B8" s="121" t="s">
        <v>18</v>
      </c>
      <c r="C8" s="126">
        <f>INPUTS!C36-C4*50%</f>
        <v>0</v>
      </c>
      <c r="D8" s="140">
        <v>1</v>
      </c>
      <c r="E8" s="140">
        <v>2</v>
      </c>
      <c r="F8" s="140">
        <v>3</v>
      </c>
      <c r="G8" s="140">
        <v>4</v>
      </c>
      <c r="H8" s="140">
        <v>5</v>
      </c>
      <c r="I8" s="141">
        <v>6</v>
      </c>
    </row>
    <row r="9" spans="2:9" x14ac:dyDescent="0.25">
      <c r="B9" s="121" t="s">
        <v>15</v>
      </c>
      <c r="C9" s="123" t="s">
        <v>16</v>
      </c>
      <c r="D9" s="127">
        <v>0.2</v>
      </c>
      <c r="E9" s="127">
        <v>0.32</v>
      </c>
      <c r="F9" s="127">
        <v>0.192</v>
      </c>
      <c r="G9" s="127">
        <v>0.1152</v>
      </c>
      <c r="H9" s="127">
        <v>0.1152</v>
      </c>
      <c r="I9" s="128">
        <v>5.7599999999999998E-2</v>
      </c>
    </row>
    <row r="10" spans="2:9" x14ac:dyDescent="0.25">
      <c r="B10" s="121" t="s">
        <v>23</v>
      </c>
      <c r="C10" s="129"/>
      <c r="D10" s="122">
        <f>IF(INPUTS!$C$26="Y",D9*$C$8,0)</f>
        <v>0</v>
      </c>
      <c r="E10" s="122">
        <f>IF(INPUTS!$C$26="Y",E9*$C$8,0)</f>
        <v>0</v>
      </c>
      <c r="F10" s="122">
        <f>IF(INPUTS!$C$26="Y",F9*$C$8,0)</f>
        <v>0</v>
      </c>
      <c r="G10" s="122">
        <f>IF(INPUTS!$C$26="Y",G9*$C$8,0)</f>
        <v>0</v>
      </c>
      <c r="H10" s="122">
        <f>IF(INPUTS!$C$26="Y",H9*$C$8,0)</f>
        <v>0</v>
      </c>
      <c r="I10" s="130">
        <f>IF(INPUTS!$C$26="Y",I9*$C$8,0)</f>
        <v>0</v>
      </c>
    </row>
    <row r="11" spans="2:9" x14ac:dyDescent="0.25">
      <c r="B11" s="121" t="s">
        <v>17</v>
      </c>
      <c r="C11" s="129"/>
      <c r="D11" s="131">
        <f>D10*$C$6</f>
        <v>0</v>
      </c>
      <c r="E11" s="122">
        <f t="shared" ref="E11:I11" si="0">E10*$C$6</f>
        <v>0</v>
      </c>
      <c r="F11" s="122">
        <f t="shared" si="0"/>
        <v>0</v>
      </c>
      <c r="G11" s="122">
        <f t="shared" si="0"/>
        <v>0</v>
      </c>
      <c r="H11" s="122">
        <f t="shared" si="0"/>
        <v>0</v>
      </c>
      <c r="I11" s="130">
        <f t="shared" si="0"/>
        <v>0</v>
      </c>
    </row>
    <row r="12" spans="2:9" x14ac:dyDescent="0.25">
      <c r="B12" s="121"/>
      <c r="C12" s="129"/>
      <c r="D12" s="132"/>
      <c r="E12" s="122"/>
      <c r="F12" s="122"/>
      <c r="G12" s="122"/>
      <c r="H12" s="122"/>
      <c r="I12" s="130"/>
    </row>
    <row r="13" spans="2:9" x14ac:dyDescent="0.25">
      <c r="B13" s="121"/>
      <c r="C13" s="129"/>
      <c r="D13" s="132"/>
      <c r="E13" s="122"/>
      <c r="F13" s="122"/>
      <c r="G13" s="122"/>
      <c r="H13" s="122"/>
      <c r="I13" s="130"/>
    </row>
    <row r="14" spans="2:9" x14ac:dyDescent="0.25">
      <c r="B14" s="121"/>
      <c r="C14" s="129"/>
      <c r="D14" s="129"/>
      <c r="E14" s="129"/>
      <c r="F14" s="129"/>
      <c r="G14" s="129"/>
      <c r="H14" s="129"/>
      <c r="I14" s="133"/>
    </row>
    <row r="15" spans="2:9" ht="15.75" thickBot="1" x14ac:dyDescent="0.3">
      <c r="B15" s="121"/>
      <c r="C15" s="134" t="s">
        <v>3</v>
      </c>
      <c r="D15" s="134">
        <v>1</v>
      </c>
      <c r="E15" s="134">
        <v>2</v>
      </c>
      <c r="F15" s="134">
        <v>3</v>
      </c>
      <c r="G15" s="134">
        <v>4</v>
      </c>
      <c r="H15" s="134">
        <v>5</v>
      </c>
      <c r="I15" s="135">
        <v>6</v>
      </c>
    </row>
    <row r="16" spans="2:9" ht="15.75" thickBot="1" x14ac:dyDescent="0.3">
      <c r="B16" s="136" t="s">
        <v>60</v>
      </c>
      <c r="C16" s="137"/>
      <c r="D16" s="138">
        <f>SUM(C4,D11)</f>
        <v>0</v>
      </c>
      <c r="E16" s="138">
        <f>E11</f>
        <v>0</v>
      </c>
      <c r="F16" s="138">
        <f t="shared" ref="F16:I16" si="1">F11</f>
        <v>0</v>
      </c>
      <c r="G16" s="138">
        <f t="shared" si="1"/>
        <v>0</v>
      </c>
      <c r="H16" s="138">
        <f t="shared" si="1"/>
        <v>0</v>
      </c>
      <c r="I16" s="139">
        <f t="shared" si="1"/>
        <v>0</v>
      </c>
    </row>
  </sheetData>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FF3300"/>
  </sheetPr>
  <dimension ref="B1:K30"/>
  <sheetViews>
    <sheetView zoomScale="80" zoomScaleNormal="80" workbookViewId="0">
      <selection activeCell="B3" sqref="B3"/>
    </sheetView>
  </sheetViews>
  <sheetFormatPr defaultColWidth="9.28515625" defaultRowHeight="15" x14ac:dyDescent="0.25"/>
  <cols>
    <col min="1" max="1" width="3.7109375" customWidth="1"/>
    <col min="2" max="2" width="15.7109375" style="7" customWidth="1"/>
    <col min="3" max="3" width="3.7109375" customWidth="1"/>
    <col min="4" max="8" width="15.7109375" style="7" customWidth="1"/>
    <col min="9" max="9" width="3.7109375" customWidth="1"/>
    <col min="10" max="11" width="13.7109375" customWidth="1"/>
  </cols>
  <sheetData>
    <row r="1" spans="2:11" ht="15.75" thickBot="1" x14ac:dyDescent="0.3"/>
    <row r="2" spans="2:11" ht="30" x14ac:dyDescent="0.25">
      <c r="B2" s="9" t="s">
        <v>25</v>
      </c>
      <c r="C2" s="9"/>
      <c r="D2" s="10" t="s">
        <v>3</v>
      </c>
      <c r="E2" s="11" t="s">
        <v>26</v>
      </c>
      <c r="F2" s="11" t="s">
        <v>27</v>
      </c>
      <c r="G2" s="11" t="s">
        <v>28</v>
      </c>
      <c r="H2" s="12" t="s">
        <v>29</v>
      </c>
      <c r="J2" t="s">
        <v>33</v>
      </c>
      <c r="K2" s="13">
        <f>INPUTS!C57</f>
        <v>0</v>
      </c>
    </row>
    <row r="3" spans="2:11" x14ac:dyDescent="0.25">
      <c r="D3" s="14"/>
      <c r="E3" s="15"/>
      <c r="F3" s="15"/>
      <c r="G3" s="15"/>
      <c r="H3" s="16"/>
      <c r="J3" t="s">
        <v>30</v>
      </c>
      <c r="K3" s="17">
        <f>INPUTS!C61</f>
        <v>0</v>
      </c>
    </row>
    <row r="4" spans="2:11" x14ac:dyDescent="0.25">
      <c r="B4" s="18">
        <f>IF(D4&lt;=$K$3,K2,0)</f>
        <v>0</v>
      </c>
      <c r="C4" s="13"/>
      <c r="D4" s="19">
        <v>1</v>
      </c>
      <c r="E4" s="20">
        <f>IF(D4&lt;=$K$3,ROUND(-K5,2),0)</f>
        <v>0</v>
      </c>
      <c r="F4" s="20">
        <f>IF(D4&lt;=$K$3,E4-G4,)</f>
        <v>0</v>
      </c>
      <c r="G4" s="20">
        <f>IF(D4&lt;=$K$3,B4*$K$4,0)</f>
        <v>0</v>
      </c>
      <c r="H4" s="21">
        <f>IF(D4&lt;=$K$3,$K$2-F4,0)</f>
        <v>0</v>
      </c>
      <c r="J4" t="s">
        <v>31</v>
      </c>
      <c r="K4" s="28" t="e">
        <f>INPUTS!C62</f>
        <v>#N/A</v>
      </c>
    </row>
    <row r="5" spans="2:11" x14ac:dyDescent="0.25">
      <c r="B5" s="18">
        <f>IF(D5&lt;=$K$3,H4,0)</f>
        <v>0</v>
      </c>
      <c r="C5" s="13"/>
      <c r="D5" s="19">
        <v>2</v>
      </c>
      <c r="E5" s="20">
        <f>IF(D5&lt;=$K$3,E4,0)</f>
        <v>0</v>
      </c>
      <c r="F5" s="20">
        <f t="shared" ref="F5:F23" si="0">IF(D5&lt;=$K$3,E5-G5,)</f>
        <v>0</v>
      </c>
      <c r="G5" s="20">
        <f t="shared" ref="G5:G23" si="1">IF(D5&lt;=$K$3,B5*$K$4,0)</f>
        <v>0</v>
      </c>
      <c r="H5" s="21">
        <f>IF(D5&lt;=$K$3,H4-F5,0)</f>
        <v>0</v>
      </c>
      <c r="J5" t="s">
        <v>32</v>
      </c>
      <c r="K5" s="13" t="e">
        <f>PMT(K4/2,K3*2,K2)*2</f>
        <v>#N/A</v>
      </c>
    </row>
    <row r="6" spans="2:11" x14ac:dyDescent="0.25">
      <c r="B6" s="18">
        <f t="shared" ref="B6:B23" si="2">IF(D6&lt;=$K$3,H5,0)</f>
        <v>0</v>
      </c>
      <c r="C6" s="13"/>
      <c r="D6" s="19">
        <v>3</v>
      </c>
      <c r="E6" s="20">
        <f t="shared" ref="E6:E23" si="3">IF(D6&lt;=$K$3,E5,0)</f>
        <v>0</v>
      </c>
      <c r="F6" s="20">
        <f t="shared" si="0"/>
        <v>0</v>
      </c>
      <c r="G6" s="20">
        <f t="shared" si="1"/>
        <v>0</v>
      </c>
      <c r="H6" s="21">
        <f t="shared" ref="H6:H23" si="4">IF(D6&lt;=$K$3,H5-F6,0)</f>
        <v>0</v>
      </c>
    </row>
    <row r="7" spans="2:11" x14ac:dyDescent="0.25">
      <c r="B7" s="18">
        <f t="shared" si="2"/>
        <v>0</v>
      </c>
      <c r="C7" s="13"/>
      <c r="D7" s="19">
        <v>4</v>
      </c>
      <c r="E7" s="20">
        <f t="shared" si="3"/>
        <v>0</v>
      </c>
      <c r="F7" s="20">
        <f t="shared" si="0"/>
        <v>0</v>
      </c>
      <c r="G7" s="20">
        <f t="shared" si="1"/>
        <v>0</v>
      </c>
      <c r="H7" s="21">
        <f t="shared" si="4"/>
        <v>0</v>
      </c>
    </row>
    <row r="8" spans="2:11" x14ac:dyDescent="0.25">
      <c r="B8" s="18">
        <f t="shared" si="2"/>
        <v>0</v>
      </c>
      <c r="C8" s="13"/>
      <c r="D8" s="19">
        <v>5</v>
      </c>
      <c r="E8" s="20">
        <f t="shared" si="3"/>
        <v>0</v>
      </c>
      <c r="F8" s="20">
        <f t="shared" si="0"/>
        <v>0</v>
      </c>
      <c r="G8" s="20">
        <f t="shared" si="1"/>
        <v>0</v>
      </c>
      <c r="H8" s="21">
        <f t="shared" si="4"/>
        <v>0</v>
      </c>
    </row>
    <row r="9" spans="2:11" x14ac:dyDescent="0.25">
      <c r="B9" s="18">
        <f t="shared" si="2"/>
        <v>0</v>
      </c>
      <c r="C9" s="13"/>
      <c r="D9" s="19">
        <v>6</v>
      </c>
      <c r="E9" s="20">
        <f t="shared" si="3"/>
        <v>0</v>
      </c>
      <c r="F9" s="20">
        <f t="shared" si="0"/>
        <v>0</v>
      </c>
      <c r="G9" s="20">
        <f t="shared" si="1"/>
        <v>0</v>
      </c>
      <c r="H9" s="21">
        <f t="shared" si="4"/>
        <v>0</v>
      </c>
    </row>
    <row r="10" spans="2:11" x14ac:dyDescent="0.25">
      <c r="B10" s="18">
        <f t="shared" si="2"/>
        <v>0</v>
      </c>
      <c r="C10" s="13"/>
      <c r="D10" s="19">
        <v>7</v>
      </c>
      <c r="E10" s="20">
        <f t="shared" si="3"/>
        <v>0</v>
      </c>
      <c r="F10" s="20">
        <f t="shared" si="0"/>
        <v>0</v>
      </c>
      <c r="G10" s="20">
        <f t="shared" si="1"/>
        <v>0</v>
      </c>
      <c r="H10" s="21">
        <f t="shared" si="4"/>
        <v>0</v>
      </c>
    </row>
    <row r="11" spans="2:11" x14ac:dyDescent="0.25">
      <c r="B11" s="18">
        <f t="shared" si="2"/>
        <v>0</v>
      </c>
      <c r="C11" s="13"/>
      <c r="D11" s="19">
        <v>8</v>
      </c>
      <c r="E11" s="20">
        <f t="shared" si="3"/>
        <v>0</v>
      </c>
      <c r="F11" s="20">
        <f t="shared" si="0"/>
        <v>0</v>
      </c>
      <c r="G11" s="20">
        <f t="shared" si="1"/>
        <v>0</v>
      </c>
      <c r="H11" s="21">
        <f t="shared" si="4"/>
        <v>0</v>
      </c>
    </row>
    <row r="12" spans="2:11" x14ac:dyDescent="0.25">
      <c r="B12" s="18">
        <f t="shared" si="2"/>
        <v>0</v>
      </c>
      <c r="C12" s="13"/>
      <c r="D12" s="19">
        <v>9</v>
      </c>
      <c r="E12" s="20">
        <f t="shared" si="3"/>
        <v>0</v>
      </c>
      <c r="F12" s="20">
        <f t="shared" si="0"/>
        <v>0</v>
      </c>
      <c r="G12" s="20">
        <f t="shared" si="1"/>
        <v>0</v>
      </c>
      <c r="H12" s="21">
        <f t="shared" si="4"/>
        <v>0</v>
      </c>
      <c r="J12" s="8"/>
    </row>
    <row r="13" spans="2:11" x14ac:dyDescent="0.25">
      <c r="B13" s="18">
        <f t="shared" si="2"/>
        <v>0</v>
      </c>
      <c r="C13" s="13"/>
      <c r="D13" s="19">
        <v>10</v>
      </c>
      <c r="E13" s="20">
        <f t="shared" si="3"/>
        <v>0</v>
      </c>
      <c r="F13" s="20">
        <f t="shared" si="0"/>
        <v>0</v>
      </c>
      <c r="G13" s="20">
        <f t="shared" si="1"/>
        <v>0</v>
      </c>
      <c r="H13" s="21">
        <f t="shared" si="4"/>
        <v>0</v>
      </c>
      <c r="J13" s="8"/>
    </row>
    <row r="14" spans="2:11" x14ac:dyDescent="0.25">
      <c r="B14" s="18">
        <f t="shared" si="2"/>
        <v>0</v>
      </c>
      <c r="C14" s="13"/>
      <c r="D14" s="19">
        <v>11</v>
      </c>
      <c r="E14" s="20">
        <f t="shared" si="3"/>
        <v>0</v>
      </c>
      <c r="F14" s="20">
        <f t="shared" si="0"/>
        <v>0</v>
      </c>
      <c r="G14" s="20">
        <f t="shared" si="1"/>
        <v>0</v>
      </c>
      <c r="H14" s="21">
        <f t="shared" si="4"/>
        <v>0</v>
      </c>
      <c r="J14" s="8"/>
    </row>
    <row r="15" spans="2:11" x14ac:dyDescent="0.25">
      <c r="B15" s="18">
        <f t="shared" si="2"/>
        <v>0</v>
      </c>
      <c r="C15" s="13"/>
      <c r="D15" s="19">
        <v>12</v>
      </c>
      <c r="E15" s="20">
        <f t="shared" si="3"/>
        <v>0</v>
      </c>
      <c r="F15" s="20">
        <f t="shared" si="0"/>
        <v>0</v>
      </c>
      <c r="G15" s="20">
        <f t="shared" si="1"/>
        <v>0</v>
      </c>
      <c r="H15" s="21">
        <f t="shared" si="4"/>
        <v>0</v>
      </c>
    </row>
    <row r="16" spans="2:11" x14ac:dyDescent="0.25">
      <c r="B16" s="18">
        <f t="shared" si="2"/>
        <v>0</v>
      </c>
      <c r="C16" s="13"/>
      <c r="D16" s="19">
        <v>13</v>
      </c>
      <c r="E16" s="20">
        <f t="shared" si="3"/>
        <v>0</v>
      </c>
      <c r="F16" s="20">
        <f t="shared" si="0"/>
        <v>0</v>
      </c>
      <c r="G16" s="20">
        <f t="shared" si="1"/>
        <v>0</v>
      </c>
      <c r="H16" s="21">
        <f t="shared" si="4"/>
        <v>0</v>
      </c>
    </row>
    <row r="17" spans="2:8" x14ac:dyDescent="0.25">
      <c r="B17" s="18">
        <f t="shared" si="2"/>
        <v>0</v>
      </c>
      <c r="C17" s="13"/>
      <c r="D17" s="19">
        <v>14</v>
      </c>
      <c r="E17" s="20">
        <f t="shared" si="3"/>
        <v>0</v>
      </c>
      <c r="F17" s="20">
        <f t="shared" si="0"/>
        <v>0</v>
      </c>
      <c r="G17" s="20">
        <f t="shared" si="1"/>
        <v>0</v>
      </c>
      <c r="H17" s="21">
        <f t="shared" si="4"/>
        <v>0</v>
      </c>
    </row>
    <row r="18" spans="2:8" x14ac:dyDescent="0.25">
      <c r="B18" s="18">
        <f t="shared" si="2"/>
        <v>0</v>
      </c>
      <c r="C18" s="13"/>
      <c r="D18" s="19">
        <v>15</v>
      </c>
      <c r="E18" s="20">
        <f t="shared" si="3"/>
        <v>0</v>
      </c>
      <c r="F18" s="20">
        <f t="shared" si="0"/>
        <v>0</v>
      </c>
      <c r="G18" s="20">
        <f t="shared" si="1"/>
        <v>0</v>
      </c>
      <c r="H18" s="21">
        <f t="shared" si="4"/>
        <v>0</v>
      </c>
    </row>
    <row r="19" spans="2:8" x14ac:dyDescent="0.25">
      <c r="B19" s="18">
        <f t="shared" si="2"/>
        <v>0</v>
      </c>
      <c r="C19" s="13"/>
      <c r="D19" s="19">
        <v>16</v>
      </c>
      <c r="E19" s="20">
        <f t="shared" si="3"/>
        <v>0</v>
      </c>
      <c r="F19" s="20">
        <f t="shared" si="0"/>
        <v>0</v>
      </c>
      <c r="G19" s="20">
        <f t="shared" si="1"/>
        <v>0</v>
      </c>
      <c r="H19" s="21">
        <f t="shared" si="4"/>
        <v>0</v>
      </c>
    </row>
    <row r="20" spans="2:8" x14ac:dyDescent="0.25">
      <c r="B20" s="18">
        <f t="shared" si="2"/>
        <v>0</v>
      </c>
      <c r="C20" s="13"/>
      <c r="D20" s="19">
        <v>17</v>
      </c>
      <c r="E20" s="20">
        <f t="shared" si="3"/>
        <v>0</v>
      </c>
      <c r="F20" s="20">
        <f t="shared" si="0"/>
        <v>0</v>
      </c>
      <c r="G20" s="20">
        <f t="shared" si="1"/>
        <v>0</v>
      </c>
      <c r="H20" s="21">
        <f t="shared" si="4"/>
        <v>0</v>
      </c>
    </row>
    <row r="21" spans="2:8" x14ac:dyDescent="0.25">
      <c r="B21" s="18">
        <f t="shared" si="2"/>
        <v>0</v>
      </c>
      <c r="C21" s="13"/>
      <c r="D21" s="19">
        <v>18</v>
      </c>
      <c r="E21" s="20">
        <f t="shared" si="3"/>
        <v>0</v>
      </c>
      <c r="F21" s="20">
        <f t="shared" si="0"/>
        <v>0</v>
      </c>
      <c r="G21" s="20">
        <f t="shared" si="1"/>
        <v>0</v>
      </c>
      <c r="H21" s="21">
        <f t="shared" si="4"/>
        <v>0</v>
      </c>
    </row>
    <row r="22" spans="2:8" x14ac:dyDescent="0.25">
      <c r="B22" s="18">
        <f t="shared" si="2"/>
        <v>0</v>
      </c>
      <c r="C22" s="13"/>
      <c r="D22" s="19">
        <v>19</v>
      </c>
      <c r="E22" s="20">
        <f t="shared" si="3"/>
        <v>0</v>
      </c>
      <c r="F22" s="20">
        <f t="shared" si="0"/>
        <v>0</v>
      </c>
      <c r="G22" s="20">
        <f t="shared" si="1"/>
        <v>0</v>
      </c>
      <c r="H22" s="21">
        <f t="shared" si="4"/>
        <v>0</v>
      </c>
    </row>
    <row r="23" spans="2:8" x14ac:dyDescent="0.25">
      <c r="B23" s="18">
        <f t="shared" si="2"/>
        <v>0</v>
      </c>
      <c r="C23" s="13"/>
      <c r="D23" s="19">
        <v>20</v>
      </c>
      <c r="E23" s="20">
        <f t="shared" si="3"/>
        <v>0</v>
      </c>
      <c r="F23" s="20">
        <f t="shared" si="0"/>
        <v>0</v>
      </c>
      <c r="G23" s="20">
        <f t="shared" si="1"/>
        <v>0</v>
      </c>
      <c r="H23" s="21">
        <f t="shared" si="4"/>
        <v>0</v>
      </c>
    </row>
    <row r="24" spans="2:8" x14ac:dyDescent="0.25">
      <c r="B24" s="18">
        <f t="shared" ref="B24:B28" si="5">IF(D24&lt;=$K$3,H23,0)</f>
        <v>0</v>
      </c>
      <c r="C24" s="13"/>
      <c r="D24" s="19">
        <v>21</v>
      </c>
      <c r="E24" s="20">
        <f t="shared" ref="E24:E28" si="6">IF(D24&lt;=$K$3,E23,0)</f>
        <v>0</v>
      </c>
      <c r="F24" s="20">
        <f t="shared" ref="F24:F28" si="7">IF(D24&lt;=$K$3,E24-G24,)</f>
        <v>0</v>
      </c>
      <c r="G24" s="20">
        <f t="shared" ref="G24:G28" si="8">IF(D24&lt;=$K$3,B24*$K$4,0)</f>
        <v>0</v>
      </c>
      <c r="H24" s="21">
        <f t="shared" ref="H24:H28" si="9">IF(D24&lt;=$K$3,H23-F24,0)</f>
        <v>0</v>
      </c>
    </row>
    <row r="25" spans="2:8" x14ac:dyDescent="0.25">
      <c r="B25" s="18">
        <f t="shared" si="5"/>
        <v>0</v>
      </c>
      <c r="C25" s="13"/>
      <c r="D25" s="19">
        <v>22</v>
      </c>
      <c r="E25" s="20">
        <f t="shared" si="6"/>
        <v>0</v>
      </c>
      <c r="F25" s="20">
        <f t="shared" si="7"/>
        <v>0</v>
      </c>
      <c r="G25" s="20">
        <f t="shared" si="8"/>
        <v>0</v>
      </c>
      <c r="H25" s="21">
        <f t="shared" si="9"/>
        <v>0</v>
      </c>
    </row>
    <row r="26" spans="2:8" x14ac:dyDescent="0.25">
      <c r="B26" s="18">
        <f t="shared" si="5"/>
        <v>0</v>
      </c>
      <c r="C26" s="13"/>
      <c r="D26" s="19">
        <v>23</v>
      </c>
      <c r="E26" s="20">
        <f t="shared" si="6"/>
        <v>0</v>
      </c>
      <c r="F26" s="20">
        <f t="shared" si="7"/>
        <v>0</v>
      </c>
      <c r="G26" s="20">
        <f t="shared" si="8"/>
        <v>0</v>
      </c>
      <c r="H26" s="21">
        <f t="shared" si="9"/>
        <v>0</v>
      </c>
    </row>
    <row r="27" spans="2:8" x14ac:dyDescent="0.25">
      <c r="B27" s="18">
        <f t="shared" si="5"/>
        <v>0</v>
      </c>
      <c r="C27" s="13"/>
      <c r="D27" s="19">
        <v>24</v>
      </c>
      <c r="E27" s="20">
        <f t="shared" si="6"/>
        <v>0</v>
      </c>
      <c r="F27" s="20">
        <f t="shared" si="7"/>
        <v>0</v>
      </c>
      <c r="G27" s="20">
        <f t="shared" si="8"/>
        <v>0</v>
      </c>
      <c r="H27" s="21">
        <f t="shared" si="9"/>
        <v>0</v>
      </c>
    </row>
    <row r="28" spans="2:8" ht="15.75" thickBot="1" x14ac:dyDescent="0.3">
      <c r="B28" s="18">
        <f t="shared" si="5"/>
        <v>0</v>
      </c>
      <c r="C28" s="13"/>
      <c r="D28" s="19">
        <v>25</v>
      </c>
      <c r="E28" s="20">
        <f t="shared" si="6"/>
        <v>0</v>
      </c>
      <c r="F28" s="20">
        <f t="shared" si="7"/>
        <v>0</v>
      </c>
      <c r="G28" s="20">
        <f t="shared" si="8"/>
        <v>0</v>
      </c>
      <c r="H28" s="21">
        <f t="shared" si="9"/>
        <v>0</v>
      </c>
    </row>
    <row r="29" spans="2:8" x14ac:dyDescent="0.25">
      <c r="D29" s="22"/>
      <c r="E29" s="23"/>
      <c r="F29" s="23"/>
      <c r="G29" s="23"/>
      <c r="H29" s="24"/>
    </row>
    <row r="30" spans="2:8" ht="15.75" thickBot="1" x14ac:dyDescent="0.3">
      <c r="D30" s="25" t="s">
        <v>34</v>
      </c>
      <c r="E30" s="26">
        <f>SUM(E4:E23)</f>
        <v>0</v>
      </c>
      <c r="F30" s="26">
        <f>SUM(F4:F23)</f>
        <v>0</v>
      </c>
      <c r="G30" s="26">
        <f>SUM(G4:G23)</f>
        <v>0</v>
      </c>
      <c r="H30" s="27"/>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11</vt:i4>
      </vt:variant>
      <vt:variant>
        <vt:lpstr>Charts</vt:lpstr>
      </vt:variant>
      <vt:variant>
        <vt:i4>2</vt:i4>
      </vt:variant>
      <vt:variant>
        <vt:lpstr>Named Ranges</vt:lpstr>
      </vt:variant>
      <vt:variant>
        <vt:i4>2</vt:i4>
      </vt:variant>
    </vt:vector>
  </HeadingPairs>
  <TitlesOfParts>
    <vt:vector size="15" baseType="lpstr">
      <vt:lpstr>ReadMe</vt:lpstr>
      <vt:lpstr>INPUTS</vt:lpstr>
      <vt:lpstr>SUMMARY TABLES</vt:lpstr>
      <vt:lpstr>BUY ALL C-PACE SIR MODEL</vt:lpstr>
      <vt:lpstr>NT C-PACE SIR MODEL</vt:lpstr>
      <vt:lpstr>SUMMARY OF PV MEASURE</vt:lpstr>
      <vt:lpstr>CLOSING FEE CALCULATOR</vt:lpstr>
      <vt:lpstr>TAX BENEFITS</vt:lpstr>
      <vt:lpstr>PRINCIPAL AND INTEREST</vt:lpstr>
      <vt:lpstr>INTEREST RATES</vt:lpstr>
      <vt:lpstr>UTILITY BILL EXAMPLE</vt:lpstr>
      <vt:lpstr>BUY ALL CASH FLOW CHART</vt:lpstr>
      <vt:lpstr>NT CASH FLOW CHART</vt:lpstr>
      <vt:lpstr>'BUY ALL C-PACE SIR MODEL'!Print_Area</vt:lpstr>
      <vt:lpstr>'NT C-PACE SIR MODEL'!Print_Area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CT Green Bank-Solar SIR Calculator</dc:title>
  <dc:creator>William C. McCalpin</dc:creator>
  <cp:lastModifiedBy>Robert Schmitt</cp:lastModifiedBy>
  <cp:lastPrinted>2020-03-24T17:23:10Z</cp:lastPrinted>
  <dcterms:created xsi:type="dcterms:W3CDTF">2013-01-30T20:24:46Z</dcterms:created>
  <dcterms:modified xsi:type="dcterms:W3CDTF">2022-12-23T14:58:42Z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2cc8bebd-5852-4a10-bf78-f773b44b5ba2</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MSIP_Label_22fbb032-08bf-4f1e-af46-2528cd3f96ca_Enabled">
    <vt:lpwstr>true</vt:lpwstr>
  </property>
  <property fmtid="{D5CDD505-2E9C-101B-9397-08002B2CF9AE}" pid="6" name="MSIP_Label_22fbb032-08bf-4f1e-af46-2528cd3f96ca_SetDate">
    <vt:lpwstr>2021-05-13T20:21:53Z</vt:lpwstr>
  </property>
  <property fmtid="{D5CDD505-2E9C-101B-9397-08002B2CF9AE}" pid="7" name="MSIP_Label_22fbb032-08bf-4f1e-af46-2528cd3f96ca_Method">
    <vt:lpwstr>Privileged</vt:lpwstr>
  </property>
  <property fmtid="{D5CDD505-2E9C-101B-9397-08002B2CF9AE}" pid="8" name="MSIP_Label_22fbb032-08bf-4f1e-af46-2528cd3f96ca_Name">
    <vt:lpwstr>22fbb032-08bf-4f1e-af46-2528cd3f96ca</vt:lpwstr>
  </property>
  <property fmtid="{D5CDD505-2E9C-101B-9397-08002B2CF9AE}" pid="9" name="MSIP_Label_22fbb032-08bf-4f1e-af46-2528cd3f96ca_SiteId">
    <vt:lpwstr>adf10e2b-b6e9-41d6-be2f-c12bb566019c</vt:lpwstr>
  </property>
  <property fmtid="{D5CDD505-2E9C-101B-9397-08002B2CF9AE}" pid="10" name="MSIP_Label_22fbb032-08bf-4f1e-af46-2528cd3f96ca_ActionId">
    <vt:lpwstr>2379a103-5d29-43ea-a8f0-4b021355dc18</vt:lpwstr>
  </property>
  <property fmtid="{D5CDD505-2E9C-101B-9397-08002B2CF9AE}" pid="11" name="MSIP_Label_22fbb032-08bf-4f1e-af46-2528cd3f96ca_ContentBits">
    <vt:lpwstr>0</vt:lpwstr>
  </property>
</Properties>
</file>